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rives compartilhados\FATURAMENTO\07 - REPACTUACOES PENDENTES\D&amp;L SERVIÇOS\CONTRATOS 2020\UFPI PICOS SERVIÇOS DIVERSOS - CT 002-2020\PLAN A1 CNR 23_24\"/>
    </mc:Choice>
  </mc:AlternateContent>
  <bookViews>
    <workbookView xWindow="0" yWindow="0" windowWidth="24000" windowHeight="9630" tabRatio="876"/>
  </bookViews>
  <sheets>
    <sheet name="PROPOSTA" sheetId="35" r:id="rId1"/>
    <sheet name="MARCEN" sheetId="75" r:id="rId2"/>
    <sheet name="BOMB" sheetId="76" r:id="rId3"/>
    <sheet name="ELET" sheetId="77" r:id="rId4"/>
    <sheet name="TRAT ANI" sheetId="78" r:id="rId5"/>
    <sheet name="OPER MICRO" sheetId="79" r:id="rId6"/>
    <sheet name="AGENT PORT" sheetId="80" r:id="rId7"/>
    <sheet name="ALMOX" sheetId="81" r:id="rId8"/>
    <sheet name="COPEIRO" sheetId="82" r:id="rId9"/>
    <sheet name="ATEND" sheetId="83" r:id="rId10"/>
    <sheet name="CONTINUO" sheetId="84" r:id="rId11"/>
    <sheet name="RECEP" sheetId="85" r:id="rId12"/>
    <sheet name="UNIF" sheetId="64" r:id="rId13"/>
  </sheets>
  <definedNames>
    <definedName name="_xlnm.Print_Area" localSheetId="6">'AGENT PORT'!$A$1:$I$141</definedName>
    <definedName name="_xlnm.Print_Area" localSheetId="7">ALMOX!$A$1:$I$141</definedName>
    <definedName name="_xlnm.Print_Area" localSheetId="9">ATEND!$A$1:$I$141</definedName>
    <definedName name="_xlnm.Print_Area" localSheetId="2">BOMB!$A$1:$I$141</definedName>
    <definedName name="_xlnm.Print_Area" localSheetId="10">CONTINUO!$A$1:$I$141</definedName>
    <definedName name="_xlnm.Print_Area" localSheetId="8">COPEIRO!$A$1:$I$141</definedName>
    <definedName name="_xlnm.Print_Area" localSheetId="3">ELET!$A$1:$I$141</definedName>
    <definedName name="_xlnm.Print_Area" localSheetId="1">MARCEN!$A$1:$I$141</definedName>
    <definedName name="_xlnm.Print_Area" localSheetId="5">'OPER MICRO'!$A$1:$I$141</definedName>
    <definedName name="_xlnm.Print_Area" localSheetId="0">PROPOSTA!$A$1:$J$98</definedName>
    <definedName name="_xlnm.Print_Area" localSheetId="11">RECEP!$A$1:$I$141</definedName>
    <definedName name="_xlnm.Print_Area" localSheetId="4">'TRAT ANI'!$A$1:$I$141</definedName>
    <definedName name="_xlnm.Print_Area" localSheetId="12">UNIF!$A$1:$G$76</definedName>
  </definedNames>
  <calcPr calcId="162913" iterate="1" iterateDelta="1E-4"/>
  <fileRecoveryPr repairLoad="1"/>
</workbook>
</file>

<file path=xl/calcChain.xml><?xml version="1.0" encoding="utf-8"?>
<calcChain xmlns="http://schemas.openxmlformats.org/spreadsheetml/2006/main">
  <c r="N50" i="35" l="1"/>
  <c r="N45" i="35"/>
  <c r="N46" i="35"/>
  <c r="N47" i="35"/>
  <c r="N48" i="35"/>
  <c r="N49" i="35"/>
  <c r="N40" i="35"/>
  <c r="N41" i="35"/>
  <c r="N42" i="35"/>
  <c r="N43" i="35"/>
  <c r="N44" i="35"/>
  <c r="N39" i="35"/>
  <c r="L50" i="35" l="1"/>
  <c r="M49" i="35"/>
  <c r="M48" i="35"/>
  <c r="M47" i="35"/>
  <c r="M46" i="35"/>
  <c r="M45" i="35"/>
  <c r="M44" i="35"/>
  <c r="M43" i="35"/>
  <c r="M42" i="35"/>
  <c r="M41" i="35"/>
  <c r="M40" i="35"/>
  <c r="M39" i="35"/>
  <c r="H83" i="76"/>
  <c r="H83" i="77"/>
  <c r="H83" i="78"/>
  <c r="H83" i="79"/>
  <c r="H83" i="80"/>
  <c r="H83" i="81"/>
  <c r="H83" i="82"/>
  <c r="H83" i="83"/>
  <c r="H83" i="84"/>
  <c r="H83" i="85"/>
  <c r="H83" i="75"/>
  <c r="M50" i="35" l="1"/>
  <c r="F49" i="35"/>
  <c r="F48" i="35"/>
  <c r="F47" i="35"/>
  <c r="F46" i="35"/>
  <c r="F45" i="35"/>
  <c r="F44" i="35"/>
  <c r="F43" i="35"/>
  <c r="F42" i="35"/>
  <c r="F41" i="35"/>
  <c r="F40" i="35"/>
  <c r="F39" i="35"/>
  <c r="H135" i="77"/>
  <c r="I102" i="79"/>
  <c r="H78" i="76"/>
  <c r="H78" i="77"/>
  <c r="H78" i="78"/>
  <c r="H78" i="79"/>
  <c r="H78" i="80"/>
  <c r="H78" i="81"/>
  <c r="H78" i="82"/>
  <c r="H78" i="83"/>
  <c r="H78" i="84"/>
  <c r="H78" i="85"/>
  <c r="H78" i="75"/>
  <c r="H75" i="76"/>
  <c r="H75" i="77"/>
  <c r="H75" i="78"/>
  <c r="H75" i="79"/>
  <c r="H75" i="80"/>
  <c r="H75" i="81"/>
  <c r="H75" i="82"/>
  <c r="H75" i="83"/>
  <c r="H75" i="84"/>
  <c r="H75" i="85"/>
  <c r="H75" i="75"/>
  <c r="K57" i="75"/>
  <c r="I57" i="75"/>
  <c r="I102" i="85" l="1"/>
  <c r="I102" i="84"/>
  <c r="I102" i="80"/>
  <c r="I102" i="81"/>
  <c r="I102" i="83"/>
  <c r="I102" i="82"/>
  <c r="I104" i="78"/>
  <c r="I104" i="77"/>
  <c r="I104" i="76"/>
  <c r="I102" i="78"/>
  <c r="I102" i="77"/>
  <c r="I102" i="76"/>
  <c r="I102" i="75"/>
  <c r="G76" i="64"/>
  <c r="S50" i="35"/>
  <c r="T40" i="35"/>
  <c r="T41" i="35"/>
  <c r="T42" i="35"/>
  <c r="T43" i="35"/>
  <c r="T44" i="35"/>
  <c r="T45" i="35"/>
  <c r="T46" i="35"/>
  <c r="T47" i="35"/>
  <c r="T48" i="35"/>
  <c r="T49" i="35"/>
  <c r="T39" i="35"/>
  <c r="T50" i="35" l="1"/>
  <c r="H22" i="85"/>
  <c r="H22" i="84"/>
  <c r="H22" i="83"/>
  <c r="H22" i="80"/>
  <c r="H22" i="79"/>
  <c r="H22" i="77"/>
  <c r="H22" i="78"/>
  <c r="E13" i="81"/>
  <c r="E14" i="81"/>
  <c r="E13" i="80"/>
  <c r="E14" i="80"/>
  <c r="E13" i="79"/>
  <c r="E14" i="79"/>
  <c r="E13" i="78"/>
  <c r="E14" i="78"/>
  <c r="E13" i="77"/>
  <c r="E14" i="77"/>
  <c r="E13" i="76"/>
  <c r="E14" i="76"/>
  <c r="E13" i="82"/>
  <c r="E14" i="82"/>
  <c r="E13" i="83"/>
  <c r="E14" i="83"/>
  <c r="E13" i="84"/>
  <c r="E14" i="84"/>
  <c r="E13" i="85"/>
  <c r="E14" i="85"/>
  <c r="E12" i="85"/>
  <c r="E12" i="84"/>
  <c r="E12" i="83"/>
  <c r="E12" i="82"/>
  <c r="E12" i="81"/>
  <c r="E12" i="80"/>
  <c r="E12" i="79"/>
  <c r="E12" i="78"/>
  <c r="E12" i="77"/>
  <c r="E12" i="76"/>
  <c r="I28" i="79" l="1"/>
  <c r="I28" i="80"/>
  <c r="I28" i="78"/>
  <c r="I28" i="76"/>
  <c r="I28" i="77"/>
  <c r="I29" i="77" s="1"/>
  <c r="H73" i="76"/>
  <c r="H73" i="77"/>
  <c r="H73" i="78"/>
  <c r="H73" i="79"/>
  <c r="H73" i="80"/>
  <c r="H73" i="81"/>
  <c r="H73" i="82"/>
  <c r="H73" i="83"/>
  <c r="H73" i="84"/>
  <c r="H73" i="85"/>
  <c r="H73" i="75"/>
  <c r="H76" i="75" l="1"/>
  <c r="H76" i="76"/>
  <c r="H76" i="77"/>
  <c r="H76" i="78"/>
  <c r="H76" i="79"/>
  <c r="H76" i="80"/>
  <c r="H76" i="81"/>
  <c r="H76" i="82"/>
  <c r="H76" i="83"/>
  <c r="H76" i="84"/>
  <c r="H76" i="85"/>
  <c r="K78" i="75" l="1"/>
  <c r="AB45" i="35" l="1"/>
  <c r="AD45" i="35" s="1"/>
  <c r="AC50" i="35"/>
  <c r="AB40" i="35"/>
  <c r="AD40" i="35" s="1"/>
  <c r="AB39" i="35"/>
  <c r="AD39" i="35" s="1"/>
  <c r="AB41" i="35"/>
  <c r="AD41" i="35" s="1"/>
  <c r="AB42" i="35"/>
  <c r="AD42" i="35" s="1"/>
  <c r="AB43" i="35"/>
  <c r="AD43" i="35" s="1"/>
  <c r="AB44" i="35"/>
  <c r="AD44" i="35" s="1"/>
  <c r="AB46" i="35"/>
  <c r="AD46" i="35" s="1"/>
  <c r="AB47" i="35"/>
  <c r="AD47" i="35" s="1"/>
  <c r="AB48" i="35"/>
  <c r="AD48" i="35" s="1"/>
  <c r="AB49" i="35"/>
  <c r="AD49" i="35" s="1"/>
  <c r="AD50" i="35" l="1"/>
  <c r="AB50" i="35"/>
  <c r="G25" i="64" l="1"/>
  <c r="G24" i="64"/>
  <c r="G26" i="64" s="1"/>
  <c r="G27" i="64" l="1"/>
  <c r="G28" i="64" s="1"/>
  <c r="G29" i="64" s="1"/>
  <c r="I57" i="76"/>
  <c r="I57" i="77"/>
  <c r="I57" i="78"/>
  <c r="I57" i="79"/>
  <c r="I57" i="80"/>
  <c r="I57" i="81"/>
  <c r="I57" i="82"/>
  <c r="I57" i="83"/>
  <c r="I57" i="84"/>
  <c r="I57" i="85"/>
  <c r="G64" i="64" l="1"/>
  <c r="G65" i="64"/>
  <c r="G66" i="64"/>
  <c r="G67" i="64"/>
  <c r="G68" i="64"/>
  <c r="G69" i="64"/>
  <c r="G70" i="64"/>
  <c r="G49" i="64"/>
  <c r="G50" i="64"/>
  <c r="G51" i="64"/>
  <c r="G52" i="64"/>
  <c r="G53" i="64"/>
  <c r="G54" i="64"/>
  <c r="G55" i="64"/>
  <c r="G34" i="64"/>
  <c r="G35" i="64"/>
  <c r="G36" i="64"/>
  <c r="G37" i="64"/>
  <c r="G38" i="64"/>
  <c r="G39" i="64"/>
  <c r="G40" i="64"/>
  <c r="G33" i="64"/>
  <c r="G41" i="64" l="1"/>
  <c r="G42" i="64" s="1"/>
  <c r="G43" i="64" s="1"/>
  <c r="G44" i="64" s="1"/>
  <c r="I56" i="75"/>
  <c r="I56" i="76"/>
  <c r="I56" i="77"/>
  <c r="I56" i="78"/>
  <c r="I56" i="79"/>
  <c r="I56" i="80"/>
  <c r="I56" i="81"/>
  <c r="I56" i="82"/>
  <c r="I56" i="83"/>
  <c r="I56" i="84"/>
  <c r="I56" i="85"/>
  <c r="H52" i="75"/>
  <c r="K41" i="75" s="1"/>
  <c r="H52" i="76"/>
  <c r="K41" i="76" s="1"/>
  <c r="H52" i="77"/>
  <c r="H52" i="78"/>
  <c r="H52" i="79"/>
  <c r="H52" i="80"/>
  <c r="K41" i="80" s="1"/>
  <c r="H52" i="81"/>
  <c r="H52" i="82"/>
  <c r="H52" i="83"/>
  <c r="H52" i="84"/>
  <c r="K41" i="84" s="1"/>
  <c r="H52" i="85"/>
  <c r="K41" i="77"/>
  <c r="K41" i="78"/>
  <c r="K41" i="79"/>
  <c r="K41" i="81"/>
  <c r="K41" i="82"/>
  <c r="K41" i="83"/>
  <c r="K41" i="85"/>
  <c r="H135" i="85" l="1"/>
  <c r="G113" i="85"/>
  <c r="E113" i="85"/>
  <c r="I93" i="85"/>
  <c r="I97" i="85" s="1"/>
  <c r="H89" i="85"/>
  <c r="I62" i="85"/>
  <c r="I61" i="85"/>
  <c r="I60" i="85"/>
  <c r="I59" i="85"/>
  <c r="H77" i="85"/>
  <c r="H40" i="85"/>
  <c r="H39" i="85"/>
  <c r="H41" i="85" s="1"/>
  <c r="I28" i="85"/>
  <c r="H23" i="85"/>
  <c r="B135" i="85" s="1"/>
  <c r="A18" i="85"/>
  <c r="H135" i="84"/>
  <c r="B135" i="84"/>
  <c r="G113" i="84"/>
  <c r="E113" i="84"/>
  <c r="I93" i="84"/>
  <c r="I97" i="84" s="1"/>
  <c r="H89" i="84"/>
  <c r="H74" i="84"/>
  <c r="I62" i="84"/>
  <c r="I61" i="84"/>
  <c r="I60" i="84"/>
  <c r="I59" i="84"/>
  <c r="H77" i="84"/>
  <c r="H79" i="84" s="1"/>
  <c r="H40" i="84"/>
  <c r="H39" i="84"/>
  <c r="H41" i="84" s="1"/>
  <c r="I28" i="84"/>
  <c r="I55" i="84" s="1"/>
  <c r="H23" i="84"/>
  <c r="A18" i="84"/>
  <c r="H135" i="83"/>
  <c r="G113" i="83"/>
  <c r="E113" i="83"/>
  <c r="I97" i="83"/>
  <c r="I93" i="83"/>
  <c r="H89" i="83"/>
  <c r="H74" i="83"/>
  <c r="I62" i="83"/>
  <c r="I61" i="83"/>
  <c r="I60" i="83"/>
  <c r="I59" i="83"/>
  <c r="H40" i="83"/>
  <c r="H41" i="83" s="1"/>
  <c r="H39" i="83"/>
  <c r="I28" i="83"/>
  <c r="H23" i="83"/>
  <c r="B135" i="83" s="1"/>
  <c r="A18" i="83"/>
  <c r="H135" i="82"/>
  <c r="G113" i="82"/>
  <c r="E113" i="82"/>
  <c r="I93" i="82"/>
  <c r="I97" i="82" s="1"/>
  <c r="H89" i="82"/>
  <c r="H74" i="82"/>
  <c r="I62" i="82"/>
  <c r="I61" i="82"/>
  <c r="I60" i="82"/>
  <c r="I59" i="82"/>
  <c r="H41" i="82"/>
  <c r="H40" i="82"/>
  <c r="H39" i="82"/>
  <c r="I28" i="82"/>
  <c r="H23" i="82"/>
  <c r="B135" i="82" s="1"/>
  <c r="A18" i="82"/>
  <c r="H135" i="81"/>
  <c r="G113" i="81"/>
  <c r="E113" i="81"/>
  <c r="I97" i="81"/>
  <c r="I93" i="81"/>
  <c r="H89" i="81"/>
  <c r="H74" i="81"/>
  <c r="I62" i="81"/>
  <c r="I61" i="81"/>
  <c r="I60" i="81"/>
  <c r="I59" i="81"/>
  <c r="H77" i="81"/>
  <c r="H79" i="81" s="1"/>
  <c r="H40" i="81"/>
  <c r="H39" i="81"/>
  <c r="H41" i="81" s="1"/>
  <c r="I28" i="81"/>
  <c r="H23" i="81"/>
  <c r="B135" i="81" s="1"/>
  <c r="A18" i="81"/>
  <c r="H135" i="80"/>
  <c r="G113" i="80"/>
  <c r="E113" i="80"/>
  <c r="I93" i="80"/>
  <c r="I97" i="80" s="1"/>
  <c r="I62" i="80"/>
  <c r="I61" i="80"/>
  <c r="I60" i="80"/>
  <c r="I59" i="80"/>
  <c r="H77" i="80"/>
  <c r="H40" i="80"/>
  <c r="H39" i="80"/>
  <c r="H41" i="80" s="1"/>
  <c r="I55" i="80"/>
  <c r="H23" i="80"/>
  <c r="B135" i="80" s="1"/>
  <c r="A18" i="80"/>
  <c r="H135" i="79"/>
  <c r="G113" i="79"/>
  <c r="E113" i="79"/>
  <c r="I93" i="79"/>
  <c r="I97" i="79" s="1"/>
  <c r="H89" i="79"/>
  <c r="H74" i="79"/>
  <c r="I62" i="79"/>
  <c r="I61" i="79"/>
  <c r="I60" i="79"/>
  <c r="I59" i="79"/>
  <c r="H77" i="79"/>
  <c r="H79" i="79" s="1"/>
  <c r="H40" i="79"/>
  <c r="H39" i="79"/>
  <c r="H41" i="79" s="1"/>
  <c r="I55" i="79"/>
  <c r="H23" i="79"/>
  <c r="B135" i="79" s="1"/>
  <c r="A18" i="79"/>
  <c r="H135" i="78"/>
  <c r="G113" i="78"/>
  <c r="E113" i="78"/>
  <c r="I97" i="78"/>
  <c r="I93" i="78"/>
  <c r="H89" i="78"/>
  <c r="H74" i="78"/>
  <c r="I62" i="78"/>
  <c r="I61" i="78"/>
  <c r="I60" i="78"/>
  <c r="I59" i="78"/>
  <c r="H77" i="78"/>
  <c r="H79" i="78" s="1"/>
  <c r="H40" i="78"/>
  <c r="H41" i="78" s="1"/>
  <c r="H39" i="78"/>
  <c r="H23" i="78"/>
  <c r="B135" i="78" s="1"/>
  <c r="A18" i="78"/>
  <c r="G113" i="77"/>
  <c r="E113" i="77"/>
  <c r="I93" i="77"/>
  <c r="I97" i="77" s="1"/>
  <c r="H89" i="77"/>
  <c r="I62" i="77"/>
  <c r="I61" i="77"/>
  <c r="I60" i="77"/>
  <c r="I59" i="77"/>
  <c r="H40" i="77"/>
  <c r="H39" i="77"/>
  <c r="H41" i="77" s="1"/>
  <c r="H23" i="77"/>
  <c r="B135" i="77" s="1"/>
  <c r="A18" i="77"/>
  <c r="H135" i="76"/>
  <c r="G113" i="76"/>
  <c r="E113" i="76"/>
  <c r="I93" i="76"/>
  <c r="I97" i="76" s="1"/>
  <c r="H89" i="76"/>
  <c r="H74" i="76"/>
  <c r="I62" i="76"/>
  <c r="I61" i="76"/>
  <c r="I60" i="76"/>
  <c r="I59" i="76"/>
  <c r="H40" i="76"/>
  <c r="H39" i="76"/>
  <c r="H41" i="76" s="1"/>
  <c r="I55" i="76"/>
  <c r="H23" i="76"/>
  <c r="B135" i="76" s="1"/>
  <c r="A18" i="76"/>
  <c r="H135" i="75"/>
  <c r="G113" i="75"/>
  <c r="E113" i="75"/>
  <c r="I93" i="75"/>
  <c r="I97" i="75" s="1"/>
  <c r="H74" i="75"/>
  <c r="I62" i="75"/>
  <c r="I61" i="75"/>
  <c r="I60" i="75"/>
  <c r="I59" i="75"/>
  <c r="H77" i="75"/>
  <c r="H40" i="75"/>
  <c r="H39" i="75"/>
  <c r="H41" i="75" s="1"/>
  <c r="I28" i="75"/>
  <c r="I55" i="75" s="1"/>
  <c r="H23" i="75"/>
  <c r="B135" i="75" s="1"/>
  <c r="A18" i="75"/>
  <c r="H79" i="75" l="1"/>
  <c r="I29" i="85"/>
  <c r="I55" i="85"/>
  <c r="I29" i="83"/>
  <c r="I55" i="83"/>
  <c r="I29" i="82"/>
  <c r="I55" i="82"/>
  <c r="I30" i="81"/>
  <c r="I55" i="81"/>
  <c r="I30" i="80"/>
  <c r="I29" i="78"/>
  <c r="I55" i="78"/>
  <c r="I30" i="78"/>
  <c r="I30" i="77"/>
  <c r="I55" i="77"/>
  <c r="I30" i="76"/>
  <c r="I35" i="76" s="1"/>
  <c r="I124" i="76" s="1"/>
  <c r="I30" i="75"/>
  <c r="I35" i="75" s="1"/>
  <c r="I124" i="75" s="1"/>
  <c r="H74" i="85"/>
  <c r="H79" i="85" s="1"/>
  <c r="I30" i="85"/>
  <c r="I29" i="84"/>
  <c r="I30" i="84"/>
  <c r="I30" i="83"/>
  <c r="H77" i="83"/>
  <c r="H79" i="83" s="1"/>
  <c r="I30" i="82"/>
  <c r="I29" i="81"/>
  <c r="H74" i="80"/>
  <c r="H79" i="80" s="1"/>
  <c r="H89" i="80"/>
  <c r="I29" i="80"/>
  <c r="I35" i="80" s="1"/>
  <c r="I29" i="79"/>
  <c r="I30" i="79"/>
  <c r="I35" i="79" s="1"/>
  <c r="I35" i="77"/>
  <c r="H77" i="77"/>
  <c r="H74" i="77"/>
  <c r="H77" i="76"/>
  <c r="H79" i="76" s="1"/>
  <c r="H89" i="75"/>
  <c r="I35" i="82" l="1"/>
  <c r="I75" i="82" s="1"/>
  <c r="I35" i="85"/>
  <c r="I78" i="85" s="1"/>
  <c r="I35" i="81"/>
  <c r="I74" i="81" s="1"/>
  <c r="I35" i="83"/>
  <c r="I78" i="83" s="1"/>
  <c r="H79" i="77"/>
  <c r="H58" i="76"/>
  <c r="I58" i="76" s="1"/>
  <c r="I63" i="76" s="1"/>
  <c r="I68" i="76" s="1"/>
  <c r="I74" i="85"/>
  <c r="I76" i="85"/>
  <c r="I40" i="85"/>
  <c r="I39" i="85"/>
  <c r="I77" i="85"/>
  <c r="I73" i="85"/>
  <c r="I75" i="85"/>
  <c r="I40" i="83"/>
  <c r="I75" i="83"/>
  <c r="I39" i="83"/>
  <c r="I74" i="83"/>
  <c r="I78" i="82"/>
  <c r="I76" i="82"/>
  <c r="I74" i="82"/>
  <c r="I78" i="81"/>
  <c r="I40" i="81"/>
  <c r="I75" i="81"/>
  <c r="I77" i="81"/>
  <c r="I76" i="81"/>
  <c r="I39" i="81"/>
  <c r="I77" i="80"/>
  <c r="I75" i="80"/>
  <c r="I73" i="80"/>
  <c r="I39" i="80"/>
  <c r="I78" i="80"/>
  <c r="I76" i="80"/>
  <c r="I74" i="80"/>
  <c r="I40" i="80"/>
  <c r="I76" i="79"/>
  <c r="I40" i="79"/>
  <c r="I74" i="79"/>
  <c r="I75" i="79"/>
  <c r="I39" i="79"/>
  <c r="I41" i="79" s="1"/>
  <c r="I66" i="79" s="1"/>
  <c r="I77" i="79"/>
  <c r="I73" i="79"/>
  <c r="I78" i="79"/>
  <c r="I35" i="78"/>
  <c r="I78" i="77"/>
  <c r="I74" i="77"/>
  <c r="I76" i="77"/>
  <c r="I77" i="77"/>
  <c r="I73" i="77"/>
  <c r="I40" i="77"/>
  <c r="I75" i="77"/>
  <c r="I39" i="77"/>
  <c r="I40" i="76"/>
  <c r="I77" i="76"/>
  <c r="I73" i="76"/>
  <c r="I39" i="76"/>
  <c r="I78" i="76"/>
  <c r="I76" i="76"/>
  <c r="I74" i="76"/>
  <c r="I75" i="76"/>
  <c r="I76" i="75"/>
  <c r="I40" i="75"/>
  <c r="I77" i="75"/>
  <c r="I73" i="75"/>
  <c r="I74" i="75"/>
  <c r="I75" i="75"/>
  <c r="I39" i="75"/>
  <c r="I78" i="75"/>
  <c r="H58" i="75"/>
  <c r="I58" i="75" s="1"/>
  <c r="I63" i="75" s="1"/>
  <c r="I68" i="75" s="1"/>
  <c r="I124" i="85"/>
  <c r="H58" i="85"/>
  <c r="I35" i="84"/>
  <c r="H58" i="84" s="1"/>
  <c r="H58" i="83"/>
  <c r="I124" i="83"/>
  <c r="I124" i="82"/>
  <c r="H77" i="82"/>
  <c r="H79" i="82" s="1"/>
  <c r="H58" i="81"/>
  <c r="I124" i="81"/>
  <c r="I124" i="80"/>
  <c r="H58" i="80"/>
  <c r="I124" i="79"/>
  <c r="H58" i="79"/>
  <c r="H58" i="77"/>
  <c r="I124" i="77"/>
  <c r="I39" i="82" l="1"/>
  <c r="I73" i="82"/>
  <c r="H58" i="82"/>
  <c r="I40" i="82"/>
  <c r="I73" i="81"/>
  <c r="I77" i="83"/>
  <c r="I79" i="83" s="1"/>
  <c r="I126" i="83" s="1"/>
  <c r="I76" i="83"/>
  <c r="I73" i="83"/>
  <c r="I48" i="79"/>
  <c r="I49" i="79"/>
  <c r="I47" i="79"/>
  <c r="I46" i="79"/>
  <c r="I50" i="79"/>
  <c r="I51" i="79"/>
  <c r="I41" i="85"/>
  <c r="I48" i="85" s="1"/>
  <c r="I124" i="84"/>
  <c r="I41" i="83"/>
  <c r="I50" i="83" s="1"/>
  <c r="I41" i="82"/>
  <c r="I66" i="82" s="1"/>
  <c r="I41" i="81"/>
  <c r="I66" i="81" s="1"/>
  <c r="I41" i="80"/>
  <c r="I45" i="79"/>
  <c r="I41" i="77"/>
  <c r="I66" i="77" s="1"/>
  <c r="I41" i="76"/>
  <c r="I44" i="76" s="1"/>
  <c r="I77" i="82"/>
  <c r="I79" i="82" s="1"/>
  <c r="I126" i="82" s="1"/>
  <c r="I58" i="85"/>
  <c r="I63" i="85" s="1"/>
  <c r="I68" i="85" s="1"/>
  <c r="I79" i="85"/>
  <c r="I126" i="85" s="1"/>
  <c r="I58" i="84"/>
  <c r="I63" i="84" s="1"/>
  <c r="I68" i="84" s="1"/>
  <c r="I78" i="84"/>
  <c r="I76" i="84"/>
  <c r="I40" i="84"/>
  <c r="I77" i="84"/>
  <c r="I75" i="84"/>
  <c r="I73" i="84"/>
  <c r="I39" i="84"/>
  <c r="I41" i="84" s="1"/>
  <c r="I66" i="84" s="1"/>
  <c r="I74" i="84"/>
  <c r="I58" i="83"/>
  <c r="I63" i="83" s="1"/>
  <c r="I68" i="83" s="1"/>
  <c r="I58" i="82"/>
  <c r="I63" i="82" s="1"/>
  <c r="I68" i="82" s="1"/>
  <c r="I49" i="82"/>
  <c r="I51" i="82"/>
  <c r="I58" i="81"/>
  <c r="I63" i="81" s="1"/>
  <c r="I68" i="81" s="1"/>
  <c r="I79" i="81"/>
  <c r="I126" i="81" s="1"/>
  <c r="I47" i="81"/>
  <c r="I51" i="80"/>
  <c r="I44" i="80"/>
  <c r="I45" i="80"/>
  <c r="I79" i="80"/>
  <c r="I126" i="80" s="1"/>
  <c r="I46" i="80"/>
  <c r="I47" i="80"/>
  <c r="I58" i="80"/>
  <c r="I63" i="80" s="1"/>
  <c r="I68" i="80" s="1"/>
  <c r="I48" i="80"/>
  <c r="I49" i="80"/>
  <c r="I79" i="79"/>
  <c r="I126" i="79" s="1"/>
  <c r="I58" i="79"/>
  <c r="I63" i="79" s="1"/>
  <c r="I68" i="79" s="1"/>
  <c r="I44" i="79"/>
  <c r="I77" i="78"/>
  <c r="I76" i="78"/>
  <c r="I73" i="78"/>
  <c r="I40" i="78"/>
  <c r="I39" i="78"/>
  <c r="I78" i="78"/>
  <c r="I75" i="78"/>
  <c r="I74" i="78"/>
  <c r="H58" i="78"/>
  <c r="I58" i="78" s="1"/>
  <c r="I63" i="78" s="1"/>
  <c r="I68" i="78" s="1"/>
  <c r="I124" i="78"/>
  <c r="I79" i="77"/>
  <c r="I126" i="77" s="1"/>
  <c r="I58" i="77"/>
  <c r="I63" i="77" s="1"/>
  <c r="I68" i="77" s="1"/>
  <c r="I51" i="77"/>
  <c r="I45" i="77"/>
  <c r="I47" i="77"/>
  <c r="I51" i="76"/>
  <c r="I45" i="76"/>
  <c r="I79" i="76"/>
  <c r="I126" i="76" s="1"/>
  <c r="I41" i="75"/>
  <c r="I79" i="75"/>
  <c r="I126" i="75" l="1"/>
  <c r="I83" i="75"/>
  <c r="I47" i="82"/>
  <c r="I48" i="82"/>
  <c r="I45" i="82"/>
  <c r="I44" i="82"/>
  <c r="I50" i="82"/>
  <c r="I46" i="82"/>
  <c r="I51" i="81"/>
  <c r="I44" i="83"/>
  <c r="I46" i="81"/>
  <c r="I49" i="81"/>
  <c r="I44" i="81"/>
  <c r="I52" i="79"/>
  <c r="I44" i="77"/>
  <c r="I46" i="77"/>
  <c r="I47" i="76"/>
  <c r="I46" i="76"/>
  <c r="I50" i="76"/>
  <c r="I48" i="76"/>
  <c r="I44" i="85"/>
  <c r="I50" i="85"/>
  <c r="I51" i="85"/>
  <c r="I47" i="85"/>
  <c r="I45" i="81"/>
  <c r="I50" i="81"/>
  <c r="I48" i="81"/>
  <c r="I49" i="77"/>
  <c r="I50" i="77"/>
  <c r="I48" i="77"/>
  <c r="I66" i="85"/>
  <c r="I49" i="85"/>
  <c r="I46" i="85"/>
  <c r="I45" i="85"/>
  <c r="I49" i="84"/>
  <c r="I66" i="83"/>
  <c r="I48" i="83"/>
  <c r="I49" i="83"/>
  <c r="I51" i="83"/>
  <c r="I45" i="83"/>
  <c r="I47" i="83"/>
  <c r="I46" i="83"/>
  <c r="I66" i="80"/>
  <c r="I50" i="80"/>
  <c r="I52" i="80" s="1"/>
  <c r="I41" i="78"/>
  <c r="I66" i="76"/>
  <c r="I49" i="76"/>
  <c r="I51" i="84"/>
  <c r="I45" i="84"/>
  <c r="I44" i="84"/>
  <c r="I46" i="84"/>
  <c r="I79" i="84"/>
  <c r="I126" i="84" s="1"/>
  <c r="I48" i="84"/>
  <c r="I50" i="84"/>
  <c r="I47" i="84"/>
  <c r="I49" i="78"/>
  <c r="I47" i="78"/>
  <c r="I45" i="78"/>
  <c r="I50" i="78"/>
  <c r="I79" i="78"/>
  <c r="I126" i="78" s="1"/>
  <c r="I44" i="78"/>
  <c r="I66" i="75"/>
  <c r="I48" i="75"/>
  <c r="I49" i="75"/>
  <c r="I51" i="75"/>
  <c r="I50" i="75"/>
  <c r="I47" i="75"/>
  <c r="I44" i="75"/>
  <c r="I46" i="75"/>
  <c r="I45" i="75"/>
  <c r="I52" i="82" l="1"/>
  <c r="I67" i="82" s="1"/>
  <c r="I52" i="77"/>
  <c r="I67" i="77" s="1"/>
  <c r="I69" i="77" s="1"/>
  <c r="I52" i="81"/>
  <c r="I67" i="81" s="1"/>
  <c r="I69" i="81" s="1"/>
  <c r="I52" i="83"/>
  <c r="I67" i="83" s="1"/>
  <c r="I69" i="83" s="1"/>
  <c r="I84" i="83" s="1"/>
  <c r="I52" i="76"/>
  <c r="I67" i="76" s="1"/>
  <c r="I69" i="76" s="1"/>
  <c r="I85" i="76" s="1"/>
  <c r="I52" i="85"/>
  <c r="I67" i="85" s="1"/>
  <c r="I69" i="85" s="1"/>
  <c r="I83" i="85" s="1"/>
  <c r="I66" i="78"/>
  <c r="I51" i="78"/>
  <c r="I48" i="78"/>
  <c r="I46" i="78"/>
  <c r="I52" i="84"/>
  <c r="I67" i="84" s="1"/>
  <c r="I69" i="84" s="1"/>
  <c r="I125" i="83"/>
  <c r="I69" i="82"/>
  <c r="I125" i="82" s="1"/>
  <c r="I83" i="81"/>
  <c r="I86" i="81"/>
  <c r="I84" i="81"/>
  <c r="I87" i="81"/>
  <c r="I85" i="81"/>
  <c r="I83" i="77"/>
  <c r="I84" i="77"/>
  <c r="I85" i="77"/>
  <c r="I86" i="77"/>
  <c r="I87" i="77"/>
  <c r="I83" i="76"/>
  <c r="I86" i="76"/>
  <c r="I52" i="75"/>
  <c r="I67" i="75" s="1"/>
  <c r="I69" i="75" s="1"/>
  <c r="I125" i="75" s="1"/>
  <c r="I125" i="81"/>
  <c r="I88" i="81"/>
  <c r="I67" i="80"/>
  <c r="I69" i="80" s="1"/>
  <c r="I67" i="79"/>
  <c r="I69" i="79" s="1"/>
  <c r="I125" i="77"/>
  <c r="I88" i="77"/>
  <c r="G63" i="64"/>
  <c r="G71" i="64" s="1"/>
  <c r="G72" i="64" s="1"/>
  <c r="G73" i="64" s="1"/>
  <c r="G74" i="64" s="1"/>
  <c r="G48" i="64"/>
  <c r="G56" i="64" s="1"/>
  <c r="G57" i="64" s="1"/>
  <c r="G58" i="64" s="1"/>
  <c r="G59" i="64" s="1"/>
  <c r="I88" i="83" l="1"/>
  <c r="I85" i="83"/>
  <c r="I87" i="83"/>
  <c r="I83" i="83"/>
  <c r="I89" i="83" s="1"/>
  <c r="I96" i="83" s="1"/>
  <c r="I98" i="83" s="1"/>
  <c r="I127" i="83" s="1"/>
  <c r="I86" i="83"/>
  <c r="I88" i="85"/>
  <c r="I125" i="85"/>
  <c r="I87" i="85"/>
  <c r="I88" i="76"/>
  <c r="I125" i="76"/>
  <c r="I87" i="76"/>
  <c r="I84" i="76"/>
  <c r="I86" i="85"/>
  <c r="I85" i="85"/>
  <c r="I84" i="85"/>
  <c r="I52" i="78"/>
  <c r="I67" i="78" s="1"/>
  <c r="I69" i="78" s="1"/>
  <c r="I83" i="78" s="1"/>
  <c r="I89" i="81"/>
  <c r="I96" i="81" s="1"/>
  <c r="I98" i="81" s="1"/>
  <c r="I127" i="81" s="1"/>
  <c r="I83" i="84"/>
  <c r="I85" i="84"/>
  <c r="I84" i="84"/>
  <c r="I87" i="84"/>
  <c r="I86" i="84"/>
  <c r="I83" i="82"/>
  <c r="I85" i="82"/>
  <c r="I86" i="82"/>
  <c r="I84" i="82"/>
  <c r="I87" i="82"/>
  <c r="I88" i="82"/>
  <c r="I83" i="80"/>
  <c r="I87" i="80"/>
  <c r="I85" i="80"/>
  <c r="I86" i="80"/>
  <c r="I84" i="80"/>
  <c r="I83" i="79"/>
  <c r="I84" i="79"/>
  <c r="I87" i="79"/>
  <c r="I85" i="79"/>
  <c r="I86" i="79"/>
  <c r="I89" i="77"/>
  <c r="I96" i="77" s="1"/>
  <c r="I98" i="77" s="1"/>
  <c r="I88" i="75"/>
  <c r="I86" i="75"/>
  <c r="I84" i="75"/>
  <c r="I87" i="75"/>
  <c r="I85" i="75"/>
  <c r="I125" i="84"/>
  <c r="I88" i="84"/>
  <c r="I125" i="80"/>
  <c r="I88" i="80"/>
  <c r="I125" i="79"/>
  <c r="I88" i="79"/>
  <c r="I89" i="76" l="1"/>
  <c r="I96" i="76" s="1"/>
  <c r="I98" i="76" s="1"/>
  <c r="I127" i="76" s="1"/>
  <c r="I89" i="85"/>
  <c r="I96" i="85" s="1"/>
  <c r="I98" i="85" s="1"/>
  <c r="I86" i="78"/>
  <c r="I84" i="78"/>
  <c r="I85" i="78"/>
  <c r="I87" i="78"/>
  <c r="I88" i="78"/>
  <c r="I125" i="78"/>
  <c r="I89" i="84"/>
  <c r="I96" i="84" s="1"/>
  <c r="I98" i="84" s="1"/>
  <c r="I89" i="82"/>
  <c r="I96" i="82" s="1"/>
  <c r="I98" i="82" s="1"/>
  <c r="I127" i="82" s="1"/>
  <c r="I89" i="80"/>
  <c r="I96" i="80" s="1"/>
  <c r="I98" i="80" s="1"/>
  <c r="I89" i="79"/>
  <c r="I96" i="79" s="1"/>
  <c r="I98" i="79" s="1"/>
  <c r="I89" i="75"/>
  <c r="I96" i="75" s="1"/>
  <c r="I98" i="75" s="1"/>
  <c r="I127" i="75" s="1"/>
  <c r="I127" i="85"/>
  <c r="I127" i="77"/>
  <c r="I129" i="77" s="1"/>
  <c r="I89" i="78" l="1"/>
  <c r="I96" i="78" s="1"/>
  <c r="I98" i="78" s="1"/>
  <c r="I127" i="78" s="1"/>
  <c r="I127" i="84"/>
  <c r="I127" i="80"/>
  <c r="I127" i="79"/>
  <c r="G16" i="64" l="1"/>
  <c r="G11" i="64" l="1"/>
  <c r="G12" i="64" l="1"/>
  <c r="G13" i="64"/>
  <c r="G14" i="64"/>
  <c r="G15" i="64"/>
  <c r="G17" i="64" l="1"/>
  <c r="I106" i="82"/>
  <c r="I106" i="85"/>
  <c r="I128" i="85" s="1"/>
  <c r="I129" i="85" s="1"/>
  <c r="I106" i="84"/>
  <c r="I128" i="84" s="1"/>
  <c r="I129" i="84" s="1"/>
  <c r="I106" i="81"/>
  <c r="I106" i="80"/>
  <c r="I106" i="83"/>
  <c r="I106" i="79"/>
  <c r="G18" i="64" l="1"/>
  <c r="G19" i="64" s="1"/>
  <c r="G20" i="64" s="1"/>
  <c r="I106" i="77"/>
  <c r="I128" i="77" s="1"/>
  <c r="I106" i="76"/>
  <c r="I128" i="76" s="1"/>
  <c r="I129" i="76" s="1"/>
  <c r="I110" i="76" s="1"/>
  <c r="I106" i="78"/>
  <c r="I128" i="78" s="1"/>
  <c r="I129" i="78" s="1"/>
  <c r="I106" i="75"/>
  <c r="I128" i="75" s="1"/>
  <c r="I129" i="75" s="1"/>
  <c r="I110" i="75" s="1"/>
  <c r="I128" i="81"/>
  <c r="I129" i="81" s="1"/>
  <c r="I110" i="84"/>
  <c r="I128" i="82"/>
  <c r="I129" i="82" s="1"/>
  <c r="I110" i="85"/>
  <c r="I128" i="79"/>
  <c r="I129" i="79" s="1"/>
  <c r="I128" i="83"/>
  <c r="I129" i="83" s="1"/>
  <c r="I128" i="80"/>
  <c r="I129" i="80" s="1"/>
  <c r="I111" i="84" l="1"/>
  <c r="K131" i="84" s="1"/>
  <c r="I111" i="76"/>
  <c r="K131" i="76" s="1"/>
  <c r="I111" i="85"/>
  <c r="I116" i="85" s="1"/>
  <c r="I110" i="79"/>
  <c r="I110" i="81"/>
  <c r="I110" i="83"/>
  <c r="I110" i="80"/>
  <c r="I110" i="77"/>
  <c r="I110" i="78"/>
  <c r="I111" i="75"/>
  <c r="K131" i="75" s="1"/>
  <c r="I110" i="82"/>
  <c r="Y49" i="35" l="1"/>
  <c r="Z49" i="35" s="1"/>
  <c r="Y48" i="35"/>
  <c r="Z48" i="35" s="1"/>
  <c r="Y40" i="35"/>
  <c r="Z40" i="35" s="1"/>
  <c r="Y39" i="35"/>
  <c r="Z39" i="35" s="1"/>
  <c r="I119" i="85"/>
  <c r="I115" i="85"/>
  <c r="K131" i="85"/>
  <c r="I116" i="84"/>
  <c r="I119" i="84"/>
  <c r="I115" i="84"/>
  <c r="I115" i="76"/>
  <c r="I111" i="78"/>
  <c r="I119" i="78" s="1"/>
  <c r="I119" i="76"/>
  <c r="I111" i="83"/>
  <c r="I116" i="83" s="1"/>
  <c r="I116" i="76"/>
  <c r="I111" i="82"/>
  <c r="I119" i="82" s="1"/>
  <c r="I116" i="75"/>
  <c r="I119" i="75"/>
  <c r="I115" i="75"/>
  <c r="I111" i="80"/>
  <c r="I115" i="80" s="1"/>
  <c r="I111" i="79"/>
  <c r="K131" i="79" s="1"/>
  <c r="I111" i="81"/>
  <c r="I116" i="81" s="1"/>
  <c r="I111" i="77"/>
  <c r="I115" i="77" s="1"/>
  <c r="Y47" i="35" l="1"/>
  <c r="Z47" i="35" s="1"/>
  <c r="Y46" i="35"/>
  <c r="Z46" i="35" s="1"/>
  <c r="Y45" i="35"/>
  <c r="Z45" i="35" s="1"/>
  <c r="Y44" i="35"/>
  <c r="Z44" i="35" s="1"/>
  <c r="Y43" i="35"/>
  <c r="Z43" i="35" s="1"/>
  <c r="Y42" i="35"/>
  <c r="Z42" i="35" s="1"/>
  <c r="Y41" i="35"/>
  <c r="Z41" i="35" s="1"/>
  <c r="I120" i="85"/>
  <c r="I130" i="85" s="1"/>
  <c r="I131" i="85" s="1"/>
  <c r="D135" i="85" s="1"/>
  <c r="F135" i="85" s="1"/>
  <c r="K131" i="82"/>
  <c r="K131" i="83"/>
  <c r="K131" i="78"/>
  <c r="I120" i="84"/>
  <c r="I130" i="84" s="1"/>
  <c r="I131" i="84" s="1"/>
  <c r="D135" i="84" s="1"/>
  <c r="F135" i="84" s="1"/>
  <c r="I116" i="78"/>
  <c r="I120" i="75"/>
  <c r="I130" i="75" s="1"/>
  <c r="I120" i="76"/>
  <c r="I130" i="76" s="1"/>
  <c r="I131" i="76" s="1"/>
  <c r="D135" i="76" s="1"/>
  <c r="F135" i="76" s="1"/>
  <c r="I116" i="82"/>
  <c r="I115" i="82"/>
  <c r="I115" i="83"/>
  <c r="I119" i="83"/>
  <c r="I115" i="78"/>
  <c r="I119" i="80"/>
  <c r="I116" i="77"/>
  <c r="K131" i="77"/>
  <c r="I116" i="80"/>
  <c r="I115" i="79"/>
  <c r="I116" i="79"/>
  <c r="I119" i="79"/>
  <c r="I119" i="81"/>
  <c r="K131" i="81"/>
  <c r="K131" i="80"/>
  <c r="I115" i="81"/>
  <c r="I119" i="77"/>
  <c r="Z50" i="35" l="1"/>
  <c r="I120" i="81"/>
  <c r="I130" i="81" s="1"/>
  <c r="I120" i="78"/>
  <c r="I130" i="78" s="1"/>
  <c r="I131" i="78" s="1"/>
  <c r="D135" i="78" s="1"/>
  <c r="F135" i="78" s="1"/>
  <c r="I120" i="82"/>
  <c r="I130" i="82" s="1"/>
  <c r="I131" i="82" s="1"/>
  <c r="D135" i="82" s="1"/>
  <c r="F135" i="82" s="1"/>
  <c r="I120" i="83"/>
  <c r="I130" i="83" s="1"/>
  <c r="I131" i="83" s="1"/>
  <c r="D135" i="83" s="1"/>
  <c r="F135" i="83" s="1"/>
  <c r="I120" i="80"/>
  <c r="I130" i="80" s="1"/>
  <c r="I120" i="77"/>
  <c r="I130" i="77" s="1"/>
  <c r="I135" i="76"/>
  <c r="I138" i="76"/>
  <c r="I139" i="76" s="1"/>
  <c r="I40" i="35" s="1"/>
  <c r="I135" i="85"/>
  <c r="I138" i="85"/>
  <c r="I139" i="85" s="1"/>
  <c r="I49" i="35" s="1"/>
  <c r="I138" i="84"/>
  <c r="I139" i="84" s="1"/>
  <c r="I48" i="35" s="1"/>
  <c r="I135" i="84"/>
  <c r="I120" i="79"/>
  <c r="I130" i="79" s="1"/>
  <c r="I131" i="75"/>
  <c r="D135" i="75" s="1"/>
  <c r="F135" i="75" s="1"/>
  <c r="J49" i="35" l="1"/>
  <c r="U49" i="35" s="1"/>
  <c r="L111" i="85"/>
  <c r="L112" i="85" s="1"/>
  <c r="I135" i="78"/>
  <c r="I138" i="78"/>
  <c r="I139" i="78" s="1"/>
  <c r="I138" i="82"/>
  <c r="I139" i="82" s="1"/>
  <c r="I46" i="35" s="1"/>
  <c r="I135" i="82"/>
  <c r="I138" i="83"/>
  <c r="I139" i="83" s="1"/>
  <c r="I47" i="35" s="1"/>
  <c r="I135" i="83"/>
  <c r="I138" i="75"/>
  <c r="I139" i="75" s="1"/>
  <c r="I39" i="35" s="1"/>
  <c r="J39" i="35" s="1"/>
  <c r="I135" i="75"/>
  <c r="I140" i="84"/>
  <c r="I131" i="81"/>
  <c r="D135" i="81" s="1"/>
  <c r="F135" i="81" s="1"/>
  <c r="I131" i="77"/>
  <c r="D135" i="77" s="1"/>
  <c r="F135" i="77" s="1"/>
  <c r="I131" i="80"/>
  <c r="D135" i="80" s="1"/>
  <c r="F135" i="80" s="1"/>
  <c r="I140" i="76"/>
  <c r="I131" i="79"/>
  <c r="D135" i="79" s="1"/>
  <c r="F135" i="79" s="1"/>
  <c r="I140" i="85"/>
  <c r="I140" i="78" l="1"/>
  <c r="I42" i="35"/>
  <c r="J40" i="35"/>
  <c r="U40" i="35" s="1"/>
  <c r="L111" i="76"/>
  <c r="L112" i="76" s="1"/>
  <c r="J48" i="35"/>
  <c r="U48" i="35" s="1"/>
  <c r="L111" i="84"/>
  <c r="L112" i="84" s="1"/>
  <c r="I138" i="79"/>
  <c r="I135" i="79"/>
  <c r="I135" i="77"/>
  <c r="I138" i="77"/>
  <c r="I138" i="80"/>
  <c r="I139" i="80" s="1"/>
  <c r="I44" i="35" s="1"/>
  <c r="I135" i="80"/>
  <c r="I138" i="81"/>
  <c r="I139" i="81" s="1"/>
  <c r="I135" i="81"/>
  <c r="I140" i="83"/>
  <c r="I140" i="75"/>
  <c r="I140" i="82"/>
  <c r="I139" i="77" l="1"/>
  <c r="I41" i="35" s="1"/>
  <c r="I139" i="79"/>
  <c r="I43" i="35" s="1"/>
  <c r="L111" i="75"/>
  <c r="L112" i="75" s="1"/>
  <c r="J42" i="35"/>
  <c r="U42" i="35" s="1"/>
  <c r="L111" i="78"/>
  <c r="L112" i="78" s="1"/>
  <c r="J46" i="35"/>
  <c r="U46" i="35" s="1"/>
  <c r="L111" i="82"/>
  <c r="L112" i="82" s="1"/>
  <c r="J47" i="35"/>
  <c r="U47" i="35" s="1"/>
  <c r="L111" i="83"/>
  <c r="L112" i="83" s="1"/>
  <c r="I140" i="81"/>
  <c r="I140" i="80"/>
  <c r="U39" i="35"/>
  <c r="I140" i="79" l="1"/>
  <c r="J41" i="35"/>
  <c r="U41" i="35" s="1"/>
  <c r="L111" i="77"/>
  <c r="L112" i="77" s="1"/>
  <c r="I140" i="77"/>
  <c r="I50" i="35"/>
  <c r="I51" i="35" s="1"/>
  <c r="Y53" i="35" s="1"/>
  <c r="J43" i="35"/>
  <c r="U43" i="35" s="1"/>
  <c r="L111" i="79"/>
  <c r="L112" i="79" s="1"/>
  <c r="J44" i="35"/>
  <c r="U44" i="35" s="1"/>
  <c r="L111" i="80"/>
  <c r="L112" i="80" s="1"/>
  <c r="J45" i="35"/>
  <c r="L111" i="81"/>
  <c r="L112" i="81" s="1"/>
</calcChain>
</file>

<file path=xl/sharedStrings.xml><?xml version="1.0" encoding="utf-8"?>
<sst xmlns="http://schemas.openxmlformats.org/spreadsheetml/2006/main" count="2789" uniqueCount="347">
  <si>
    <t>PLANILHA DE CUSTOS E FORMAÇÃO DE PREÇOS</t>
  </si>
  <si>
    <t>DISCRIMINAÇÃO DOS SERVIÇOS</t>
  </si>
  <si>
    <t>A</t>
  </si>
  <si>
    <t>Data de apresentação (dia/mês/ano)</t>
  </si>
  <si>
    <t>B</t>
  </si>
  <si>
    <t>Município/UF</t>
  </si>
  <si>
    <t>C</t>
  </si>
  <si>
    <t>Ano Acordo, Convenção ou Sentença Normativa em Dissídio Coletivo</t>
  </si>
  <si>
    <t>D</t>
  </si>
  <si>
    <t>Número de Meses da Execução Contratual</t>
  </si>
  <si>
    <t>Tipo de Serviço</t>
  </si>
  <si>
    <t>Unidade de Medida</t>
  </si>
  <si>
    <t>Tipo de serviço (mesmo serviço com características distintas)</t>
  </si>
  <si>
    <t>Salário Normativo da Categoria Profissional</t>
  </si>
  <si>
    <t>Categoria profissional (vinculada à execução contratual)</t>
  </si>
  <si>
    <t>Data base da categoria (dia/mês/ano)</t>
  </si>
  <si>
    <t>MÓDULO 1</t>
  </si>
  <si>
    <t>Composição da Remuneração</t>
  </si>
  <si>
    <t>%</t>
  </si>
  <si>
    <t>Valor (R$)</t>
  </si>
  <si>
    <t>Salário base</t>
  </si>
  <si>
    <t xml:space="preserve">Adicional de Periculosidade </t>
  </si>
  <si>
    <t>Adicional de Insalubridade</t>
  </si>
  <si>
    <t>Adicional Noturno</t>
  </si>
  <si>
    <t>E</t>
  </si>
  <si>
    <t xml:space="preserve">Prorrogação da Hora Noturna </t>
  </si>
  <si>
    <t>F</t>
  </si>
  <si>
    <t xml:space="preserve">Hora Noturna Reduzida </t>
  </si>
  <si>
    <t>G</t>
  </si>
  <si>
    <t xml:space="preserve">Feriados Trabalhados </t>
  </si>
  <si>
    <t>TOTAL MÓDULO 1</t>
  </si>
  <si>
    <t>2.1</t>
  </si>
  <si>
    <t>Submódulo 2.1 - 13º (décimo terceiro) Salário, Férias e Adicional de Férias</t>
  </si>
  <si>
    <t>13º (décimo terceiro) Salário</t>
  </si>
  <si>
    <t>Férias e Adicional de Férias</t>
  </si>
  <si>
    <t>Total Submódulo 2.1</t>
  </si>
  <si>
    <t>2.2</t>
  </si>
  <si>
    <t>Submódulo 2.2 - GPS, FGTS e outras contribuições</t>
  </si>
  <si>
    <t>INSS</t>
  </si>
  <si>
    <t>Salário Educação</t>
  </si>
  <si>
    <t>SAT - GIL/RAT</t>
  </si>
  <si>
    <t>SESC ou SESI</t>
  </si>
  <si>
    <t>SENAI - SENAC</t>
  </si>
  <si>
    <t>SEBRAE</t>
  </si>
  <si>
    <t>INCRA</t>
  </si>
  <si>
    <t>H</t>
  </si>
  <si>
    <t>FGTS</t>
  </si>
  <si>
    <t>Total Submódulo 2.2</t>
  </si>
  <si>
    <t>2.3</t>
  </si>
  <si>
    <t>Submódulo 2.3 - Benefícios Mensais e Diários</t>
  </si>
  <si>
    <t>Referência</t>
  </si>
  <si>
    <t>Cesta Básica</t>
  </si>
  <si>
    <t>Total Submódulo 2.3</t>
  </si>
  <si>
    <t>Quadro-Resumo do Módulo 2 - Encargos e Benefícios Anuais, Mensais e Diários</t>
  </si>
  <si>
    <t>13º (décimo terceiro) Salário, Férias e Adicional de Férias</t>
  </si>
  <si>
    <t>GPS, FGTS e outras contribuições</t>
  </si>
  <si>
    <t>Benefícios Mensais e Diários</t>
  </si>
  <si>
    <t>TOTAL MÓDULO 2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</si>
  <si>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</si>
  <si>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</si>
  <si>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</si>
  <si>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</si>
  <si>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</si>
  <si>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Pévio Trabalhado</t>
  </si>
  <si>
    <t>Multa do FGTS e Contribuição Social sobre o Aviso Prévio Trabalhado</t>
  </si>
  <si>
    <t>TOTAL MÓDULO 3</t>
  </si>
  <si>
    <t>4.1</t>
  </si>
  <si>
    <t>Submódulo 4.1 - Ausências Legais</t>
  </si>
  <si>
    <t>Férias</t>
  </si>
  <si>
    <t>Ausências Legais</t>
  </si>
  <si>
    <t>Licença Paternidade</t>
  </si>
  <si>
    <t>Ausência por Acidente de Trabalho</t>
  </si>
  <si>
    <t>Afastamento Maternidade</t>
  </si>
  <si>
    <t>Total Submódulo 4.1</t>
  </si>
  <si>
    <t>4.2</t>
  </si>
  <si>
    <t>Submódulo 4.2 - Intervalo para repouso/alimentação</t>
  </si>
  <si>
    <t>Total Submódulo 4.2</t>
  </si>
  <si>
    <t>Quadro-Resumo do Módulo 4 - Custo de Reposição do Profissional Ausente</t>
  </si>
  <si>
    <t>Intrajornada</t>
  </si>
  <si>
    <t>TOTAL MÓDULO 4</t>
  </si>
  <si>
    <t>Insumos Diversos</t>
  </si>
  <si>
    <t>Materiais</t>
  </si>
  <si>
    <t>TOTAL MÓDULO 5</t>
  </si>
  <si>
    <t>Custos Indiretos, Tributos e Lucro</t>
  </si>
  <si>
    <t xml:space="preserve">Custos Indiretos </t>
  </si>
  <si>
    <t xml:space="preserve">Lucro </t>
  </si>
  <si>
    <t>CÁLCULO POR DENTRO</t>
  </si>
  <si>
    <t>Tributos</t>
  </si>
  <si>
    <t>c.1</t>
  </si>
  <si>
    <t>Tributos Federais</t>
  </si>
  <si>
    <t>c.1.1</t>
  </si>
  <si>
    <t>PIS</t>
  </si>
  <si>
    <t>c.1.2</t>
  </si>
  <si>
    <t>COFINS</t>
  </si>
  <si>
    <t>c.2</t>
  </si>
  <si>
    <t xml:space="preserve">Tributos Estaduais </t>
  </si>
  <si>
    <t>c.3</t>
  </si>
  <si>
    <t xml:space="preserve">Tributos Municipais </t>
  </si>
  <si>
    <t>c.3.1</t>
  </si>
  <si>
    <t>ISSQN</t>
  </si>
  <si>
    <t>TOTAL MÓDULO 6</t>
  </si>
  <si>
    <t>QUADRO-RESUMO DO CUSTO ESTIMADO POR EMPREGADO</t>
  </si>
  <si>
    <t>Mão de obra vinculada à execução contratual (valor por empregado)</t>
  </si>
  <si>
    <t>Módulo 1 - Composição da Remuneração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</si>
  <si>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</si>
  <si>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</si>
  <si>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</si>
  <si>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</si>
  <si>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Subtotal (A + B + C + D + E)</t>
  </si>
  <si>
    <t>Módulo 6 - Custos Indiretos, Tributos e Lucro</t>
  </si>
  <si>
    <t>Valor Total por Empregado</t>
  </si>
  <si>
    <t>QUADRO-RESUMO DO VALOR ESTIMADO MENSAL DOS SERVIÇOS</t>
  </si>
  <si>
    <t>Tipo de Serviço (A)</t>
  </si>
  <si>
    <t>Valor Proposto por Empregado (B)</t>
  </si>
  <si>
    <t>Qtde. de Postos (E)</t>
  </si>
  <si>
    <t>I</t>
  </si>
  <si>
    <t>QUADRO-DEMONSTRATIVO DO VALOR GLOBAL ESTIMADO DA PROPOSTA</t>
  </si>
  <si>
    <t>Descrição</t>
  </si>
  <si>
    <t>Valor proposto por unidade de medida</t>
  </si>
  <si>
    <t>Valor mensal estimado do serviço</t>
  </si>
  <si>
    <t>Qtde. de Empregados por Posto (C)</t>
  </si>
  <si>
    <t>Valor Proposto do Posto (D) = (B) x (C)</t>
  </si>
  <si>
    <t>Valor Total do Serviço                                             (F) = (D) x (E)</t>
  </si>
  <si>
    <t xml:space="preserve">  Valor global (Valor mensal do serviço multiplicado pelo número de meses do contrato)</t>
  </si>
  <si>
    <t xml:space="preserve">MÓDULO DE MÃO-DE-OBRA VINCULADA À EXECUÇÃO CONTRATUAL UNIDADE DE MEDIDA – TIPOS E QUANTIDADES </t>
  </si>
  <si>
    <t>MÓDULO 3 - PROVISÃO PARA RESCISÃO</t>
  </si>
  <si>
    <t>MÓDULO 4 - CUSTO DE REPOSIÇÃO DO PROFISSIONAL AUSENTE</t>
  </si>
  <si>
    <t>MÓDULO 2 - ENCARGOS E BENEFÍCIOS ANUAIS, MENSAIS E DIÁRIOS</t>
  </si>
  <si>
    <t>MÓDULO 5 - INSUMOS DIVERSOS</t>
  </si>
  <si>
    <t>MÓDULO 6 - CUSTOS INDIRETOS, TRIBUTOS E LUCRO</t>
  </si>
  <si>
    <t>01</t>
  </si>
  <si>
    <t>Brasileira</t>
  </si>
  <si>
    <t>Outros (Especificar)</t>
  </si>
  <si>
    <t>VALOR MENSAL</t>
  </si>
  <si>
    <t>Ausências por Doença</t>
  </si>
  <si>
    <t>Declaramos expressamente que nos valores propostos estarão inclusos todos os custos operacionais, encargos previdenciários, trabalhistas, tributários, comerciais e quaisquer outros que incidam direta ou indiretamente na prestação dos serviços, apurados mediante o preenchimento do modelo de Planilha de Custos e Formação de Preços, conforme anexo deste Edital.</t>
  </si>
  <si>
    <t>ITEM</t>
  </si>
  <si>
    <t>ESPECIFICAÇÃO</t>
  </si>
  <si>
    <t>Valor Total</t>
  </si>
  <si>
    <t>P.UNIT</t>
  </si>
  <si>
    <t>P.TOTAL</t>
  </si>
  <si>
    <t>UNID.</t>
  </si>
  <si>
    <t xml:space="preserve">Uniformes </t>
  </si>
  <si>
    <t>PLANILHA DE CUSTOS - UNIFORMES</t>
  </si>
  <si>
    <t>DADOS DO PROPONENTE:</t>
  </si>
  <si>
    <t>Proponente:</t>
  </si>
  <si>
    <t>D&amp;L SERVIÇOS DE APOIO ADMINISTRATIVO LTDA</t>
  </si>
  <si>
    <t>CPF/CNPJ:</t>
  </si>
  <si>
    <t>09.172.237/0001-24</t>
  </si>
  <si>
    <t>Telefone/FAX:</t>
  </si>
  <si>
    <t xml:space="preserve">(85) 3257-6248 </t>
  </si>
  <si>
    <t>Endereço:</t>
  </si>
  <si>
    <t xml:space="preserve">Rua Tibúrcio Cavalcante, 2902 </t>
  </si>
  <si>
    <t>Cidade/UF:</t>
  </si>
  <si>
    <t>Fortaleza/CE</t>
  </si>
  <si>
    <t>Complemento:</t>
  </si>
  <si>
    <t>Dionísio Torres</t>
  </si>
  <si>
    <t>CEP:</t>
  </si>
  <si>
    <t>60.125-101</t>
  </si>
  <si>
    <t>E-mail</t>
  </si>
  <si>
    <t xml:space="preserve">del@delservicos.com.br </t>
  </si>
  <si>
    <t>DADOS PARA ASSINATURA DO CONTRATO:</t>
  </si>
  <si>
    <t>Nome:</t>
  </si>
  <si>
    <t>LUANNA SIMÕES PEREIRA</t>
  </si>
  <si>
    <t>CPF:</t>
  </si>
  <si>
    <t>004.150.423-21</t>
  </si>
  <si>
    <t>(85) 3257-6248</t>
  </si>
  <si>
    <t>RG:</t>
  </si>
  <si>
    <t>SSP/CE</t>
  </si>
  <si>
    <t>Naturalidade:</t>
  </si>
  <si>
    <t>Manaus/AM</t>
  </si>
  <si>
    <t>Nacionalidade:</t>
  </si>
  <si>
    <t>Cargo/Função</t>
  </si>
  <si>
    <t>Procuradora</t>
  </si>
  <si>
    <t>Rua Juazeiro do Norte, 199 - Aptº. 101</t>
  </si>
  <si>
    <t>Meireles</t>
  </si>
  <si>
    <t>60.165-110</t>
  </si>
  <si>
    <t>DADOS BANCÁRIOS:</t>
  </si>
  <si>
    <t>Institutição:</t>
  </si>
  <si>
    <t>Banco Bradesco S/A</t>
  </si>
  <si>
    <t>Código:</t>
  </si>
  <si>
    <t>AG:</t>
  </si>
  <si>
    <t>0624-6</t>
  </si>
  <si>
    <t>8258-9</t>
  </si>
  <si>
    <t>C.Corrente:</t>
  </si>
  <si>
    <t>Praça:</t>
  </si>
  <si>
    <t>CONVENÇÃO UTILIZADA NA ELABORAÇÃO DA PROPOSTA:</t>
  </si>
  <si>
    <t>OBJETO DA LICITAÇÃO</t>
  </si>
  <si>
    <t>_____________________________________</t>
  </si>
  <si>
    <t>Luanna Simões Pereira</t>
  </si>
  <si>
    <t>RG Nº. 2000002011949 SSP-CE</t>
  </si>
  <si>
    <t>CPF Nº. 004.150.423-21</t>
  </si>
  <si>
    <r>
      <t xml:space="preserve">Regime de Tributação: </t>
    </r>
    <r>
      <rPr>
        <sz val="10"/>
        <rFont val="Calibri"/>
        <family val="2"/>
        <scheme val="minor"/>
      </rPr>
      <t>Lucro Real</t>
    </r>
  </si>
  <si>
    <t>VALOR GLOBAL (12 MESES)</t>
  </si>
  <si>
    <t>12 (Vinte) Meses</t>
  </si>
  <si>
    <t>QTD/ANUAL</t>
  </si>
  <si>
    <t>02</t>
  </si>
  <si>
    <t>03</t>
  </si>
  <si>
    <t>04</t>
  </si>
  <si>
    <t>05</t>
  </si>
  <si>
    <t>06</t>
  </si>
  <si>
    <t>07</t>
  </si>
  <si>
    <t xml:space="preserve">Benefício Social </t>
  </si>
  <si>
    <t>Auxilio Creche</t>
  </si>
  <si>
    <t>08</t>
  </si>
  <si>
    <t>09</t>
  </si>
  <si>
    <t>Equipamentos+EPI's</t>
  </si>
  <si>
    <r>
      <t xml:space="preserve">   Quantidade total a Contratar                                         </t>
    </r>
    <r>
      <rPr>
        <b/>
        <sz val="8"/>
        <color rgb="FF000000"/>
        <rFont val="Calibri"/>
        <family val="2"/>
        <scheme val="minor"/>
      </rPr>
      <t>(em função de unidade de medida)</t>
    </r>
  </si>
  <si>
    <r>
      <t xml:space="preserve">Intrajornada </t>
    </r>
    <r>
      <rPr>
        <i/>
        <sz val="8"/>
        <color rgb="FF000000"/>
        <rFont val="Calibri"/>
        <family val="2"/>
        <scheme val="minor"/>
      </rPr>
      <t>(usufruído pelo empregado)</t>
    </r>
  </si>
  <si>
    <t>Outros (especificar)</t>
  </si>
  <si>
    <r>
      <rPr>
        <b/>
        <sz val="10"/>
        <rFont val="Calibri"/>
        <family val="2"/>
        <scheme val="minor"/>
      </rPr>
      <t>Prazo de Execução dos Serviços:</t>
    </r>
    <r>
      <rPr>
        <sz val="10"/>
        <rFont val="Calibri"/>
        <family val="2"/>
        <scheme val="minor"/>
      </rPr>
      <t xml:space="preserve"> 12 (doze) Meses</t>
    </r>
  </si>
  <si>
    <r>
      <rPr>
        <b/>
        <sz val="10"/>
        <rFont val="Calibri"/>
        <family val="2"/>
        <scheme val="minor"/>
      </rPr>
      <t>Prazo de Validade da Proposta:</t>
    </r>
    <r>
      <rPr>
        <sz val="10"/>
        <rFont val="Calibri"/>
        <family val="2"/>
        <scheme val="minor"/>
      </rPr>
      <t xml:space="preserve"> 90 (noventa) dias, contados da sua apresentação.</t>
    </r>
  </si>
  <si>
    <t>MINISTÉRIO DA EDUCAÇÃO</t>
  </si>
  <si>
    <t>UNIVERSIDADE FEDERAL DO PIAUÍ</t>
  </si>
  <si>
    <t>PREGÃO ELETRÔNICO Nº 31/2019</t>
  </si>
  <si>
    <t>PROCESSO ADMINISTRATIVO Nº 23111.018293/2018-82</t>
  </si>
  <si>
    <t>Classificação Brasileira de Ocupações (CBO)</t>
  </si>
  <si>
    <t>10</t>
  </si>
  <si>
    <t>11</t>
  </si>
  <si>
    <t>12</t>
  </si>
  <si>
    <t>13</t>
  </si>
  <si>
    <t>14</t>
  </si>
  <si>
    <t>15</t>
  </si>
  <si>
    <t>16</t>
  </si>
  <si>
    <t>Botina de Couto e Bota em PVC</t>
  </si>
  <si>
    <t>Meia de algodão preta</t>
  </si>
  <si>
    <t>Luva/mascará (proteção)</t>
  </si>
  <si>
    <t>Crachá</t>
  </si>
  <si>
    <t>Camiseta Malha Fria PV manga longa com punho, Gola V com emblema da empresa</t>
  </si>
  <si>
    <t>Boné Confeccionado em tecido de Brim, com abas laterais, com logomarca da empresa</t>
  </si>
  <si>
    <t>Calça Comprida em tecido Brim, com bolsos tipo sacola 32 cm nas laterais</t>
  </si>
  <si>
    <t>Blazer/calça/saia</t>
  </si>
  <si>
    <t>Lenço</t>
  </si>
  <si>
    <t>Camisa Social</t>
  </si>
  <si>
    <t>Lenço para cabelo</t>
  </si>
  <si>
    <t>par de sapatos</t>
  </si>
  <si>
    <t>par de meias</t>
  </si>
  <si>
    <t>Jaqueta/cinto</t>
  </si>
  <si>
    <t>Cargo: Agente de Portaria, Operador de Micro, Almoxarife, Atendente, Encarregado, Continuo e
Recepcionista 
(Por empregado) - MASCULINO</t>
  </si>
  <si>
    <t>par de meias 3/4</t>
  </si>
  <si>
    <t>Cargo: Agente de Portaria, Operador de Micro, Almoxarife, Atendente, Encarregado, Continuo e 
Recepcionista 
(Por empregado) - FEMININO</t>
  </si>
  <si>
    <t>Cargo: Copeiro
(Por empregado)</t>
  </si>
  <si>
    <t>Avental, em Oxford ou Tergal, branco, com amarras dos lados</t>
  </si>
  <si>
    <t>Calça comprida com zíper ou saia, de gabardine ou brim, na cor cinza claro ou na cor preta</t>
  </si>
  <si>
    <t>Blusa com gola esporte, cinza claro ou preta, gabardine ou brim, com zíper na frente, dois bolsos nas laterais inferiores e emblema da empresa no lado esquerdo superior</t>
  </si>
  <si>
    <t>Camiseta em forma de “T”, malha fina, com gola sanfonada de mangas curtas, com emblema da empresa no lado esquerdo superior.</t>
  </si>
  <si>
    <t>Touca de Filó com abas na cor preta ou cinza, para uso dentro de copas</t>
  </si>
  <si>
    <t>Meia social ¾, cor natural</t>
  </si>
  <si>
    <t>Calçado em couro preto, tipo mocassim, fechado, salto alto até 3 cm ou sapatilha em couro, antiderrapante</t>
  </si>
  <si>
    <t>O objeto da presente licitação é a escolha da proposta mais vantajosa para a contratação de serviços de empresa especializada na prestação, de forma contínua, de serviços de apoio administrativo e serviços auxiliares, com fornecimento de todos os materiais de consumo e equipamentos necessários, conforme quantidades estimadas e especificações descritas no Termo de Referência, a serem executados nas dependências da UNIVERSIDADE FEDERAL DO PIAUI no Campus Senador Helvídio Nunes de Barros (CSHNB) em Picos-PI, bem como em outros imóveis que venham a ser ocupados por esta IES, conforme condições, quantidades e exigências estabelecidas neste Edital e seus anexos.</t>
  </si>
  <si>
    <t>Picos/PI</t>
  </si>
  <si>
    <t>Limpeza e Conservação</t>
  </si>
  <si>
    <t>Seguro de Vida (CCT - Cláusula 9º)</t>
  </si>
  <si>
    <t>MARCENEIRO</t>
  </si>
  <si>
    <t>7711-05</t>
  </si>
  <si>
    <t>BOMBEIRO</t>
  </si>
  <si>
    <t>7241-10</t>
  </si>
  <si>
    <t>POSTO</t>
  </si>
  <si>
    <t>ELETRICISTA</t>
  </si>
  <si>
    <t>9511-05</t>
  </si>
  <si>
    <t>6230-20</t>
  </si>
  <si>
    <t>TRATADOR DE ANIMAIS</t>
  </si>
  <si>
    <t>OPERADOR DE MICRO</t>
  </si>
  <si>
    <t>3172-05</t>
  </si>
  <si>
    <t>AGENTE DE PORTARIA</t>
  </si>
  <si>
    <t>5174-15</t>
  </si>
  <si>
    <t>ALMOXARIFE</t>
  </si>
  <si>
    <t>4141-05</t>
  </si>
  <si>
    <t>COPEIRO</t>
  </si>
  <si>
    <t>5134-25</t>
  </si>
  <si>
    <t>ATENDENTE</t>
  </si>
  <si>
    <t>4221-10</t>
  </si>
  <si>
    <t>CONTINUO</t>
  </si>
  <si>
    <t>4122-05</t>
  </si>
  <si>
    <t>RECEPCIONISTA</t>
  </si>
  <si>
    <t>4221-05</t>
  </si>
  <si>
    <t>PROPOSTA COMERCIAL</t>
  </si>
  <si>
    <t>Á Universidade Federal do Piaui</t>
  </si>
  <si>
    <t>Referente: Edital de Pregão Eletrônico Nº 31/2019</t>
  </si>
  <si>
    <t>Prezado(s) Senhor(es)</t>
  </si>
  <si>
    <t>As planilhas de quantitativos e custos conterão as descrições dos produtos que compõe a solução proposta, incluindo as respectivas, unidades, preços unitários e totais gerais, expressos em reais (R$)</t>
  </si>
  <si>
    <t>A) APRESENTAMOS A PRESENTE PROPOSTA COMERCIAL À UNIVERSIDADE FEDERAL DO PIAUÍ, relativamente ao fornecimento do material, objeto do Pregão Eletrônico 31/2019, conforme especificações técnicas descritas no ANEXO I, pela qual declaramos pleno conhecimento e total concordância com os termos do Edital respectivo, bem assim com as condições estabelecidas para a contratação.</t>
  </si>
  <si>
    <t>B) Compreendemos, na íntegra, o Edital supra mencionado e afirmamos que nossa proposta é perfeitamente exequível aos preços finais que ofertarmos nesta licitação, bem assim que temos plenas condições de executar o objeto licitado, manifestando total concordância em realizá-lo conforme disposto no Edital, respeitando especificações, requisitos, prazos e condições do fornecimento, inclusive nas hipóteses do art. 65, §1º, da Lei n. 8.666/93;</t>
  </si>
  <si>
    <t>C) Esta empresa proponente cumpre plenamente todos os requisitos para habilitação e que, até a presente data, inexistem fatos impeditivos para sua habilitação no presente processo licitatório, estando ciente e compromissada na obrigação de declarar ocorrências posteriores;</t>
  </si>
  <si>
    <t>D) mantendo nenhum vínculo de dependência ou subordinação com quaisquer outras empresas licitantes neste certame;</t>
  </si>
  <si>
    <t>E) Para fins do disposto no inciso V do art. 27 da Lei n. 8.666, de 21 de junho de 1993, acrescido pela Lei n. 9.854, de 27 de outubro de 1999, a proponente não emprega menor de dezoito anos em trabalho noturno, perigoso ou insalubre e não emprega menor de dezesseis anos, salvo a partir dos quatorze anos na condição de aprendiz;</t>
  </si>
  <si>
    <t>F) Que responsabiliza-se formalmente pelas transações efetuadas em seu nome, reconhecendo como verdadeiras as propostas, ofertas e demais atos praticados no COMPRASGOVERNAMENTAIS, diretamente e/ou por representante, neste certame;</t>
  </si>
  <si>
    <t>G) As obrigações que impliquem custos e formação de preços que não fizemos constar desta proposta serão suportadas por nós proponentes;</t>
  </si>
  <si>
    <t>H) Todos os cálculos foram feitos com base nos preços vigentes no mercado, pelo que ofertamos os valores supracitados:</t>
  </si>
  <si>
    <t>I) Que declara para fins de comprovação perante a UNIVERSIDADE FEDERAL DO PIAUÍ, que estamos cientes que o objeto do Pregão Eletrônico 31/2019 é Sistema de Registro de Preços, ou seja, o pagamento será  operacionais para disponibilizar todos os serviços, quando solicitados, conforme estabelece o edital eefetivado conforme às necessidades dos serviços e que detemos condições seus anexos.</t>
  </si>
  <si>
    <t>J) Esta é a proposta que apresentamos à Universidade Federal do Piauí, pelo que solicitamos que a tomem como firme e irretratável, na forma do Edital e da legislação aplicável.</t>
  </si>
  <si>
    <t>CARGO</t>
  </si>
  <si>
    <t>CBO</t>
  </si>
  <si>
    <t>VALOR TOTAL MENSAL</t>
  </si>
  <si>
    <t>ITENS DO GRUPO 02</t>
  </si>
  <si>
    <t>serviço</t>
  </si>
  <si>
    <t>QT. DO ITEM</t>
  </si>
  <si>
    <t>VALOR TOTAL ANUAL</t>
  </si>
  <si>
    <t>QTD. EMPREGADOS</t>
  </si>
  <si>
    <t>Marceneiro</t>
  </si>
  <si>
    <t>Bombeiro</t>
  </si>
  <si>
    <t>Eletricista</t>
  </si>
  <si>
    <t>Tratador de Animais</t>
  </si>
  <si>
    <t>Operador de Micro</t>
  </si>
  <si>
    <t>Agente de Portaria</t>
  </si>
  <si>
    <t>Almoxarife</t>
  </si>
  <si>
    <t>Copeiro</t>
  </si>
  <si>
    <t>Atendente</t>
  </si>
  <si>
    <t>Contínuo</t>
  </si>
  <si>
    <t>Recepcionista</t>
  </si>
  <si>
    <t xml:space="preserve">Auxílio Saúde </t>
  </si>
  <si>
    <t>Marceneiro; Bombeiro Hidráulico, Eletricista e Tratador de Animais (Por empregado)</t>
  </si>
  <si>
    <t>Arrematado</t>
  </si>
  <si>
    <t>Ajustado</t>
  </si>
  <si>
    <t>Outros itens (EPI's) Conforme particularidades da função</t>
  </si>
  <si>
    <t>Bombeiro Hidráulico, Eletricista e Tratador de Animais (EPI'S)</t>
  </si>
  <si>
    <t>Equipamentos+EPI's (Não heverá fornecimento conforme chat Comprasnet)</t>
  </si>
  <si>
    <t>DOBRO</t>
  </si>
  <si>
    <t>IMEPI</t>
  </si>
  <si>
    <t>RESTA</t>
  </si>
  <si>
    <t>TX+LC</t>
  </si>
  <si>
    <t>TX+LC MENSAL</t>
  </si>
  <si>
    <t>Auxílio Alimentação (CCT- Cláusula 8ª)</t>
  </si>
  <si>
    <t>CONTRATO Nº 02/2020</t>
  </si>
  <si>
    <t>Transporte</t>
  </si>
  <si>
    <t>5</t>
  </si>
  <si>
    <r>
      <t>ÍNDICES (Inicial 2,5350%) + (Atual 10,061%) Fórmula=(</t>
    </r>
    <r>
      <rPr>
        <b/>
        <sz val="10"/>
        <color rgb="FFFF0000"/>
        <rFont val="Calibri"/>
        <family val="2"/>
        <scheme val="minor"/>
      </rPr>
      <t>R$ 68,84</t>
    </r>
    <r>
      <rPr>
        <b/>
        <sz val="10"/>
        <rFont val="Calibri"/>
        <family val="2"/>
        <scheme val="minor"/>
      </rPr>
      <t xml:space="preserve"> x (10,061-2,5350%)/2,5350%/100) = 2,97%</t>
    </r>
  </si>
  <si>
    <r>
      <t>ÍNDICES (Inicial 2,5350%) + (Atual 10,061%) Fórmula=(</t>
    </r>
    <r>
      <rPr>
        <b/>
        <sz val="10"/>
        <color rgb="FFFF0000"/>
        <rFont val="Calibri"/>
        <family val="2"/>
        <scheme val="minor"/>
      </rPr>
      <t>R$ 10,40</t>
    </r>
    <r>
      <rPr>
        <b/>
        <sz val="10"/>
        <rFont val="Calibri"/>
        <family val="2"/>
        <scheme val="minor"/>
      </rPr>
      <t xml:space="preserve"> x (10,061-2,5350%)/2,5350%/100) = 2,97%</t>
    </r>
  </si>
  <si>
    <t>PI000066/2023</t>
  </si>
  <si>
    <t xml:space="preserve">Seguro de Vida </t>
  </si>
  <si>
    <t>VALORES 2022</t>
  </si>
  <si>
    <t>CCT  - PI000066/2023 -SECAPI - VIGÊNCIA: 2023/2023 - DATA BASE: 01/01/2023</t>
  </si>
  <si>
    <t>VALOR MENSAL INICIAL</t>
  </si>
  <si>
    <r>
      <t>2022 - ÍNDICES (Inicial 2,5350%) + (Atual 10,061%) Fórmula=(</t>
    </r>
    <r>
      <rPr>
        <b/>
        <sz val="10"/>
        <color rgb="FFFF0000"/>
        <rFont val="Calibri"/>
        <family val="2"/>
        <scheme val="minor"/>
      </rPr>
      <t>R$ 37,05</t>
    </r>
    <r>
      <rPr>
        <b/>
        <sz val="10"/>
        <rFont val="Calibri"/>
        <family val="2"/>
        <scheme val="minor"/>
      </rPr>
      <t xml:space="preserve"> x (10,061-2,5350%)/2,5350%/100) = 2,97%</t>
    </r>
  </si>
  <si>
    <t>2023 - ÍNDICES (Inicial 2,5350%) + (Atual 5,784840%) Fórmula=(R$ 38,15 x (5,784840-2,5350%)/2,5350%/100) = 1,28%</t>
  </si>
  <si>
    <t>2023 - ÍNDICES (Inicial 2,5350%) + (Atual 5,784840%) Fórmula=(R$ 30,12 x (5,784840-2,5350%)/2,5350%/100) = 1,28%</t>
  </si>
  <si>
    <r>
      <t>ÍNDICES (Inicial 2,5350%) + (Atual 10,061%) Fórmula=(</t>
    </r>
    <r>
      <rPr>
        <b/>
        <sz val="10"/>
        <color rgb="FFFF0000"/>
        <rFont val="Calibri"/>
        <family val="2"/>
        <scheme val="minor"/>
      </rPr>
      <t>R$ 29,25</t>
    </r>
    <r>
      <rPr>
        <b/>
        <sz val="10"/>
        <rFont val="Calibri"/>
        <family val="2"/>
        <scheme val="minor"/>
      </rPr>
      <t xml:space="preserve"> x (10,061-2,5350%)/2,5350%/100) = 2,97%</t>
    </r>
  </si>
  <si>
    <t>2023 - ÍNDICES (Inicial 2,5350%) + (Atual 5,784840%) Fórmula=(R$ 10,71 x (5,784840-2,5350%)/2,5350%/100) = 1,28%</t>
  </si>
  <si>
    <t>2023 - ÍNDICES (Inicial 2,5350%) + (Atual 5,784840%) Fórmula=(R$ 70,88 x (5,784840-2,5350%)/2,5350%/100) = 1,28%</t>
  </si>
  <si>
    <r>
      <t>2022 - ÍNDICES (Inicial 2,5350%) + (Atual 10,061%) Fórmula=(</t>
    </r>
    <r>
      <rPr>
        <b/>
        <sz val="10"/>
        <color rgb="FFFF0000"/>
        <rFont val="Calibri"/>
        <family val="2"/>
        <scheme val="minor"/>
      </rPr>
      <t>R$ 65,47</t>
    </r>
    <r>
      <rPr>
        <b/>
        <sz val="10"/>
        <rFont val="Calibri"/>
        <family val="2"/>
        <scheme val="minor"/>
      </rPr>
      <t xml:space="preserve"> x (10,061-2,5350%)/2,5350%/100) = 2,97%</t>
    </r>
  </si>
  <si>
    <t>2023 - ÍNDICES (Inicial 2,5350%) + (Atual 5,784840%) Fórmula=(R$ 67,41 x (5,784840-2,5350%)/2,5350%/100) = 1,28%</t>
  </si>
  <si>
    <t>ÍNDICES (Inicial 2,5350) + (Atual 5,784840%) Fórmula = (5,784840-2,5350)/2,5350/100)</t>
  </si>
  <si>
    <t>VALOR UNITARIO</t>
  </si>
  <si>
    <t>Fortaleza/CE, 14 de dezembro de 2023.</t>
  </si>
  <si>
    <t>VALORES 2023 - repactuação</t>
  </si>
  <si>
    <t>VALOR MENSAL  (SESSENTA E OITO MIL, TREZENTOS E SEIS REAIS E TRINTA E SETE CENTAVOS)</t>
  </si>
  <si>
    <t xml:space="preserve"> VALOR ANUAL (OITOCENTOS E DEZENOVE  MIL, SEISCENTOS E SETENTA E SEIS REAIS E QUARENTA E QUATRO CENTAVOS)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</si>
</sst>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-&quot;R$ &quot;* #,##0.00_-;&quot;-R$ &quot;* #,##0.00_-;_-&quot;R$ &quot;* \-??_-;_-@_-"/>
    <numFmt numFmtId="166" formatCode="_(&quot;R$ &quot;* #,##0.00_);_(&quot;R$ &quot;* \(#,##0.00\);_(&quot;R$ &quot;* \-??_);_(@_)"/>
    <numFmt numFmtId="167" formatCode="_-* #,##0.00_-;\-* #,##0.00_-;_-* \-??_-;_-@_-"/>
    <numFmt numFmtId="168" formatCode="0.000%"/>
    <numFmt numFmtId="169" formatCode="_-* #,##0.000_-;\-* #,##0.000_-;_-* &quot;-&quot;???_-;_-@_-"/>
    <numFmt numFmtId="170" formatCode="_(* #,##0.00_);_(* \(#,##0.00\);_(* &quot;-&quot;??_);_(@_)"/>
  </numFmts>
  <fonts count="40" x14ac:knownFonts="1">
    <font>
      <sz val="11"/>
      <color rgb="FF000000"/>
      <name val="Calibri"/>
      <family val="2"/>
      <charset val="1"/>
    </font>
    <font>
      <b/>
      <sz val="11"/>
      <color rgb="FFFA7D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9"/>
      <name val="Arial"/>
      <family val="2"/>
    </font>
    <font>
      <b/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2F2F2"/>
        <bgColor rgb="FFEEECE1"/>
      </patternFill>
    </fill>
    <fill>
      <patternFill patternType="solid">
        <fgColor rgb="FF000000"/>
        <bgColor rgb="FF00000A"/>
      </patternFill>
    </fill>
    <fill>
      <patternFill patternType="solid">
        <fgColor rgb="FFD9D9D9"/>
        <bgColor rgb="FFDDD9C3"/>
      </patternFill>
    </fill>
    <fill>
      <patternFill patternType="solid">
        <fgColor rgb="FFFFFFFF"/>
        <bgColor rgb="FFF2F2F2"/>
      </patternFill>
    </fill>
    <fill>
      <patternFill patternType="solid">
        <fgColor rgb="FFDDD9C3"/>
        <bgColor rgb="FFD9D9D9"/>
      </patternFill>
    </fill>
    <fill>
      <patternFill patternType="solid">
        <fgColor rgb="FF595959"/>
        <bgColor rgb="FF215968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rgb="FFF2F2F2"/>
      </patternFill>
    </fill>
    <fill>
      <patternFill patternType="solid">
        <fgColor rgb="FFCCFFFF"/>
        <bgColor rgb="FFF2F2F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2F2F2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FBFBF"/>
      </left>
      <right style="medium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4">
    <xf numFmtId="0" fontId="0" fillId="0" borderId="0"/>
    <xf numFmtId="167" fontId="2" fillId="0" borderId="0" applyBorder="0" applyProtection="0"/>
    <xf numFmtId="165" fontId="2" fillId="0" borderId="0" applyBorder="0" applyProtection="0"/>
    <xf numFmtId="9" fontId="2" fillId="0" borderId="0" applyBorder="0" applyProtection="0"/>
    <xf numFmtId="0" fontId="1" fillId="2" borderId="1" applyProtection="0"/>
    <xf numFmtId="0" fontId="3" fillId="0" borderId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2" fillId="0" borderId="0" applyBorder="0" applyProtection="0"/>
    <xf numFmtId="0" fontId="3" fillId="0" borderId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</cellStyleXfs>
  <cellXfs count="430">
    <xf numFmtId="0" fontId="0" fillId="0" borderId="0" xfId="0"/>
    <xf numFmtId="0" fontId="6" fillId="0" borderId="0" xfId="0" applyFont="1"/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0" xfId="0" applyFont="1"/>
    <xf numFmtId="0" fontId="13" fillId="0" borderId="0" xfId="5" applyFont="1" applyFill="1" applyAlignment="1">
      <alignment vertical="center"/>
    </xf>
    <xf numFmtId="0" fontId="14" fillId="0" borderId="0" xfId="5" applyFont="1" applyFill="1" applyAlignment="1">
      <alignment vertical="center"/>
    </xf>
    <xf numFmtId="0" fontId="14" fillId="0" borderId="0" xfId="0" applyFont="1"/>
    <xf numFmtId="0" fontId="8" fillId="0" borderId="0" xfId="5" applyFont="1" applyFill="1" applyAlignment="1">
      <alignment vertical="center"/>
    </xf>
    <xf numFmtId="0" fontId="15" fillId="0" borderId="0" xfId="0" applyFont="1"/>
    <xf numFmtId="0" fontId="16" fillId="0" borderId="0" xfId="11" applyFont="1" applyAlignment="1">
      <alignment vertical="center"/>
    </xf>
    <xf numFmtId="0" fontId="16" fillId="0" borderId="0" xfId="11" applyFont="1" applyFill="1" applyAlignment="1">
      <alignment vertical="center"/>
    </xf>
    <xf numFmtId="0" fontId="16" fillId="0" borderId="0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7" fillId="0" borderId="0" xfId="5" applyFont="1" applyAlignment="1">
      <alignment vertical="center"/>
    </xf>
    <xf numFmtId="0" fontId="16" fillId="0" borderId="0" xfId="5" applyFont="1" applyAlignment="1">
      <alignment vertical="center"/>
    </xf>
    <xf numFmtId="0" fontId="16" fillId="0" borderId="0" xfId="5" applyFont="1" applyFill="1" applyAlignment="1">
      <alignment vertical="center"/>
    </xf>
    <xf numFmtId="0" fontId="16" fillId="0" borderId="0" xfId="11" applyFont="1"/>
    <xf numFmtId="0" fontId="16" fillId="0" borderId="0" xfId="0" applyFont="1" applyFill="1" applyAlignment="1">
      <alignment vertical="center"/>
    </xf>
    <xf numFmtId="0" fontId="11" fillId="0" borderId="13" xfId="11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0" fontId="11" fillId="0" borderId="0" xfId="5" applyFont="1" applyBorder="1" applyAlignment="1">
      <alignment horizontal="center" vertical="center"/>
    </xf>
    <xf numFmtId="49" fontId="9" fillId="9" borderId="13" xfId="0" applyNumberFormat="1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10" fontId="9" fillId="9" borderId="13" xfId="0" applyNumberFormat="1" applyFont="1" applyFill="1" applyBorder="1" applyAlignment="1">
      <alignment horizontal="center" vertical="center" wrapText="1"/>
    </xf>
    <xf numFmtId="166" fontId="9" fillId="9" borderId="13" xfId="0" applyNumberFormat="1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/>
    </xf>
    <xf numFmtId="165" fontId="10" fillId="5" borderId="13" xfId="0" applyNumberFormat="1" applyFont="1" applyFill="1" applyBorder="1" applyAlignment="1">
      <alignment horizontal="center" vertical="center"/>
    </xf>
    <xf numFmtId="0" fontId="9" fillId="0" borderId="0" xfId="0" applyFont="1"/>
    <xf numFmtId="168" fontId="10" fillId="0" borderId="0" xfId="0" applyNumberFormat="1" applyFont="1"/>
    <xf numFmtId="0" fontId="10" fillId="0" borderId="0" xfId="0" applyFont="1" applyFill="1"/>
    <xf numFmtId="169" fontId="10" fillId="0" borderId="0" xfId="0" applyNumberFormat="1" applyFont="1"/>
    <xf numFmtId="167" fontId="10" fillId="0" borderId="0" xfId="1" applyFont="1"/>
    <xf numFmtId="43" fontId="10" fillId="0" borderId="0" xfId="0" applyNumberFormat="1" applyFont="1"/>
    <xf numFmtId="0" fontId="9" fillId="9" borderId="13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10" xfId="11" applyFont="1" applyBorder="1" applyAlignment="1">
      <alignment horizontal="center" vertical="center" wrapText="1"/>
    </xf>
    <xf numFmtId="0" fontId="16" fillId="0" borderId="0" xfId="5" applyFont="1" applyBorder="1" applyAlignment="1">
      <alignment horizontal="center" vertical="center"/>
    </xf>
    <xf numFmtId="0" fontId="16" fillId="0" borderId="0" xfId="5" applyFont="1" applyFill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9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5" fontId="11" fillId="10" borderId="0" xfId="2" applyFont="1" applyFill="1" applyBorder="1" applyProtection="1"/>
    <xf numFmtId="0" fontId="24" fillId="11" borderId="0" xfId="0" applyFont="1" applyFill="1" applyBorder="1" applyAlignment="1">
      <alignment horizontal="center" vertical="center"/>
    </xf>
    <xf numFmtId="15" fontId="14" fillId="0" borderId="0" xfId="5" applyNumberFormat="1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166" fontId="22" fillId="0" borderId="3" xfId="0" applyNumberFormat="1" applyFont="1" applyBorder="1" applyAlignment="1">
      <alignment horizontal="center"/>
    </xf>
    <xf numFmtId="166" fontId="22" fillId="0" borderId="0" xfId="0" applyNumberFormat="1" applyFont="1" applyBorder="1" applyAlignment="1">
      <alignment horizontal="center"/>
    </xf>
    <xf numFmtId="165" fontId="22" fillId="0" borderId="3" xfId="2" applyFont="1" applyBorder="1" applyAlignment="1" applyProtection="1">
      <alignment horizontal="center"/>
    </xf>
    <xf numFmtId="165" fontId="22" fillId="0" borderId="0" xfId="2" applyFont="1" applyBorder="1" applyAlignment="1" applyProtection="1">
      <alignment horizontal="center"/>
    </xf>
    <xf numFmtId="166" fontId="24" fillId="4" borderId="3" xfId="0" applyNumberFormat="1" applyFont="1" applyFill="1" applyBorder="1" applyAlignment="1">
      <alignment horizontal="center" vertical="center"/>
    </xf>
    <xf numFmtId="166" fontId="24" fillId="4" borderId="0" xfId="0" applyNumberFormat="1" applyFont="1" applyFill="1" applyBorder="1" applyAlignment="1">
      <alignment horizontal="center" vertical="center"/>
    </xf>
    <xf numFmtId="0" fontId="6" fillId="4" borderId="3" xfId="0" applyFont="1" applyFill="1" applyBorder="1"/>
    <xf numFmtId="168" fontId="24" fillId="4" borderId="3" xfId="0" applyNumberFormat="1" applyFont="1" applyFill="1" applyBorder="1" applyAlignment="1">
      <alignment horizontal="center" vertical="center"/>
    </xf>
    <xf numFmtId="166" fontId="24" fillId="4" borderId="3" xfId="0" applyNumberFormat="1" applyFont="1" applyFill="1" applyBorder="1" applyAlignment="1">
      <alignment horizontal="center"/>
    </xf>
    <xf numFmtId="166" fontId="24" fillId="4" borderId="0" xfId="0" applyNumberFormat="1" applyFont="1" applyFill="1" applyBorder="1" applyAlignment="1">
      <alignment horizontal="center"/>
    </xf>
    <xf numFmtId="166" fontId="24" fillId="5" borderId="0" xfId="0" applyNumberFormat="1" applyFont="1" applyFill="1" applyBorder="1" applyAlignment="1">
      <alignment horizontal="center"/>
    </xf>
    <xf numFmtId="168" fontId="22" fillId="0" borderId="3" xfId="3" applyNumberFormat="1" applyFont="1" applyBorder="1" applyAlignment="1" applyProtection="1">
      <alignment horizontal="center"/>
    </xf>
    <xf numFmtId="168" fontId="22" fillId="0" borderId="3" xfId="1" applyNumberFormat="1" applyFont="1" applyBorder="1" applyAlignment="1" applyProtection="1">
      <alignment horizontal="center"/>
    </xf>
    <xf numFmtId="165" fontId="24" fillId="4" borderId="3" xfId="2" applyFont="1" applyFill="1" applyBorder="1" applyAlignment="1" applyProtection="1">
      <alignment horizontal="center"/>
    </xf>
    <xf numFmtId="165" fontId="24" fillId="4" borderId="0" xfId="2" applyFont="1" applyFill="1" applyBorder="1" applyAlignment="1" applyProtection="1">
      <alignment horizontal="center"/>
    </xf>
    <xf numFmtId="165" fontId="24" fillId="5" borderId="0" xfId="2" applyFont="1" applyFill="1" applyBorder="1" applyAlignment="1" applyProtection="1">
      <alignment horizontal="center"/>
    </xf>
    <xf numFmtId="166" fontId="22" fillId="5" borderId="0" xfId="0" applyNumberFormat="1" applyFont="1" applyFill="1" applyBorder="1" applyAlignment="1">
      <alignment horizontal="center"/>
    </xf>
    <xf numFmtId="165" fontId="22" fillId="0" borderId="3" xfId="2" applyFont="1" applyBorder="1" applyAlignment="1" applyProtection="1"/>
    <xf numFmtId="166" fontId="22" fillId="5" borderId="3" xfId="0" applyNumberFormat="1" applyFont="1" applyFill="1" applyBorder="1" applyAlignment="1">
      <alignment horizontal="center"/>
    </xf>
    <xf numFmtId="165" fontId="22" fillId="0" borderId="3" xfId="2" applyFont="1" applyFill="1" applyBorder="1" applyAlignment="1" applyProtection="1"/>
    <xf numFmtId="166" fontId="22" fillId="0" borderId="3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24" fillId="0" borderId="3" xfId="0" applyFont="1" applyBorder="1" applyAlignment="1">
      <alignment horizontal="center" vertical="center"/>
    </xf>
    <xf numFmtId="168" fontId="23" fillId="5" borderId="3" xfId="0" applyNumberFormat="1" applyFont="1" applyFill="1" applyBorder="1" applyAlignment="1">
      <alignment horizontal="center"/>
    </xf>
    <xf numFmtId="166" fontId="23" fillId="0" borderId="3" xfId="0" applyNumberFormat="1" applyFont="1" applyBorder="1" applyAlignment="1">
      <alignment horizontal="center"/>
    </xf>
    <xf numFmtId="166" fontId="23" fillId="0" borderId="0" xfId="0" applyNumberFormat="1" applyFont="1" applyBorder="1" applyAlignment="1">
      <alignment horizontal="center"/>
    </xf>
    <xf numFmtId="0" fontId="27" fillId="0" borderId="0" xfId="0" applyFont="1"/>
    <xf numFmtId="168" fontId="23" fillId="0" borderId="3" xfId="0" applyNumberFormat="1" applyFont="1" applyBorder="1" applyAlignment="1">
      <alignment horizontal="center"/>
    </xf>
    <xf numFmtId="168" fontId="23" fillId="0" borderId="3" xfId="2" applyNumberFormat="1" applyFont="1" applyBorder="1" applyAlignment="1" applyProtection="1">
      <alignment horizontal="center"/>
    </xf>
    <xf numFmtId="168" fontId="22" fillId="5" borderId="3" xfId="0" applyNumberFormat="1" applyFont="1" applyFill="1" applyBorder="1" applyAlignment="1">
      <alignment horizontal="center"/>
    </xf>
    <xf numFmtId="0" fontId="24" fillId="4" borderId="3" xfId="0" applyFont="1" applyFill="1" applyBorder="1" applyAlignment="1">
      <alignment vertical="center"/>
    </xf>
    <xf numFmtId="168" fontId="24" fillId="4" borderId="3" xfId="2" applyNumberFormat="1" applyFont="1" applyFill="1" applyBorder="1" applyAlignment="1" applyProtection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166" fontId="24" fillId="0" borderId="3" xfId="0" applyNumberFormat="1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166" fontId="22" fillId="5" borderId="3" xfId="0" applyNumberFormat="1" applyFont="1" applyFill="1" applyBorder="1" applyAlignment="1">
      <alignment horizontal="center" vertical="center"/>
    </xf>
    <xf numFmtId="166" fontId="22" fillId="5" borderId="0" xfId="0" applyNumberFormat="1" applyFont="1" applyFill="1" applyBorder="1" applyAlignment="1">
      <alignment horizontal="center" vertical="center"/>
    </xf>
    <xf numFmtId="10" fontId="23" fillId="14" borderId="3" xfId="0" applyNumberFormat="1" applyFont="1" applyFill="1" applyBorder="1" applyAlignment="1">
      <alignment horizontal="center" vertical="center"/>
    </xf>
    <xf numFmtId="166" fontId="23" fillId="0" borderId="3" xfId="0" applyNumberFormat="1" applyFont="1" applyBorder="1" applyAlignment="1">
      <alignment horizontal="center" vertical="center"/>
    </xf>
    <xf numFmtId="166" fontId="23" fillId="0" borderId="0" xfId="0" applyNumberFormat="1" applyFont="1" applyBorder="1" applyAlignment="1">
      <alignment horizontal="center" vertical="center"/>
    </xf>
    <xf numFmtId="166" fontId="22" fillId="0" borderId="3" xfId="0" applyNumberFormat="1" applyFont="1" applyBorder="1" applyAlignment="1">
      <alignment horizontal="center" vertical="center"/>
    </xf>
    <xf numFmtId="166" fontId="22" fillId="0" borderId="0" xfId="0" applyNumberFormat="1" applyFont="1" applyBorder="1" applyAlignment="1">
      <alignment horizontal="center" vertical="center"/>
    </xf>
    <xf numFmtId="165" fontId="22" fillId="0" borderId="3" xfId="2" applyFont="1" applyBorder="1" applyAlignment="1" applyProtection="1">
      <alignment vertical="center"/>
    </xf>
    <xf numFmtId="165" fontId="22" fillId="0" borderId="0" xfId="2" applyFont="1" applyBorder="1" applyAlignment="1" applyProtection="1">
      <alignment vertical="center"/>
    </xf>
    <xf numFmtId="0" fontId="22" fillId="0" borderId="5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8" fillId="0" borderId="3" xfId="0" applyFont="1" applyBorder="1" applyAlignment="1">
      <alignment horizontal="right" vertical="center"/>
    </xf>
    <xf numFmtId="168" fontId="22" fillId="10" borderId="3" xfId="1" applyNumberFormat="1" applyFont="1" applyFill="1" applyBorder="1" applyAlignment="1" applyProtection="1">
      <alignment horizontal="center" vertical="center"/>
    </xf>
    <xf numFmtId="10" fontId="22" fillId="10" borderId="3" xfId="0" applyNumberFormat="1" applyFont="1" applyFill="1" applyBorder="1" applyAlignment="1">
      <alignment horizontal="center" vertical="center"/>
    </xf>
    <xf numFmtId="0" fontId="32" fillId="7" borderId="0" xfId="0" applyFont="1" applyFill="1" applyBorder="1" applyAlignment="1">
      <alignment horizontal="center" vertical="center"/>
    </xf>
    <xf numFmtId="166" fontId="24" fillId="2" borderId="3" xfId="0" applyNumberFormat="1" applyFont="1" applyFill="1" applyBorder="1" applyAlignment="1">
      <alignment horizontal="center"/>
    </xf>
    <xf numFmtId="166" fontId="24" fillId="2" borderId="0" xfId="0" applyNumberFormat="1" applyFont="1" applyFill="1" applyBorder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166" fontId="9" fillId="2" borderId="0" xfId="0" applyNumberFormat="1" applyFont="1" applyFill="1" applyBorder="1" applyAlignment="1">
      <alignment horizontal="center"/>
    </xf>
    <xf numFmtId="49" fontId="24" fillId="5" borderId="3" xfId="0" applyNumberFormat="1" applyFont="1" applyFill="1" applyBorder="1" applyAlignment="1">
      <alignment horizontal="center" vertical="center" wrapText="1"/>
    </xf>
    <xf numFmtId="10" fontId="24" fillId="5" borderId="3" xfId="0" applyNumberFormat="1" applyFont="1" applyFill="1" applyBorder="1" applyAlignment="1">
      <alignment horizontal="center" vertical="center" wrapText="1"/>
    </xf>
    <xf numFmtId="166" fontId="24" fillId="5" borderId="3" xfId="0" applyNumberFormat="1" applyFont="1" applyFill="1" applyBorder="1" applyAlignment="1">
      <alignment horizontal="center" vertical="center" wrapText="1"/>
    </xf>
    <xf numFmtId="166" fontId="24" fillId="5" borderId="0" xfId="0" applyNumberFormat="1" applyFont="1" applyFill="1" applyBorder="1" applyAlignment="1">
      <alignment horizontal="center" vertical="center" wrapText="1"/>
    </xf>
    <xf numFmtId="165" fontId="22" fillId="5" borderId="3" xfId="2" applyFont="1" applyFill="1" applyBorder="1" applyAlignment="1" applyProtection="1">
      <alignment horizontal="center" vertical="center"/>
    </xf>
    <xf numFmtId="165" fontId="22" fillId="5" borderId="0" xfId="0" applyNumberFormat="1" applyFont="1" applyFill="1" applyBorder="1" applyAlignment="1">
      <alignment horizontal="center" vertical="center"/>
    </xf>
    <xf numFmtId="166" fontId="24" fillId="5" borderId="3" xfId="0" applyNumberFormat="1" applyFont="1" applyFill="1" applyBorder="1" applyAlignment="1">
      <alignment horizontal="center" vertical="center"/>
    </xf>
    <xf numFmtId="166" fontId="24" fillId="5" borderId="0" xfId="0" applyNumberFormat="1" applyFont="1" applyFill="1" applyBorder="1" applyAlignment="1">
      <alignment horizontal="center" vertical="center"/>
    </xf>
    <xf numFmtId="167" fontId="6" fillId="0" borderId="0" xfId="1" applyFont="1"/>
    <xf numFmtId="166" fontId="9" fillId="5" borderId="3" xfId="0" applyNumberFormat="1" applyFont="1" applyFill="1" applyBorder="1" applyAlignment="1">
      <alignment horizontal="center" vertical="center"/>
    </xf>
    <xf numFmtId="166" fontId="9" fillId="5" borderId="0" xfId="0" applyNumberFormat="1" applyFont="1" applyFill="1" applyBorder="1" applyAlignment="1">
      <alignment horizontal="center" vertical="center"/>
    </xf>
    <xf numFmtId="43" fontId="10" fillId="0" borderId="0" xfId="0" applyNumberFormat="1" applyFont="1" applyAlignment="1">
      <alignment horizontal="center"/>
    </xf>
    <xf numFmtId="43" fontId="16" fillId="0" borderId="0" xfId="5" applyNumberFormat="1" applyFont="1" applyAlignment="1">
      <alignment vertical="center"/>
    </xf>
    <xf numFmtId="43" fontId="6" fillId="0" borderId="0" xfId="0" applyNumberFormat="1" applyFont="1"/>
    <xf numFmtId="0" fontId="22" fillId="5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0" fillId="14" borderId="13" xfId="0" applyNumberFormat="1" applyFont="1" applyFill="1" applyBorder="1" applyAlignment="1">
      <alignment horizontal="center" vertical="center"/>
    </xf>
    <xf numFmtId="10" fontId="22" fillId="0" borderId="3" xfId="3" applyNumberFormat="1" applyFont="1" applyBorder="1" applyAlignment="1" applyProtection="1">
      <alignment horizontal="center"/>
    </xf>
    <xf numFmtId="168" fontId="16" fillId="0" borderId="0" xfId="0" applyNumberFormat="1" applyFont="1"/>
    <xf numFmtId="0" fontId="11" fillId="0" borderId="10" xfId="11" applyFont="1" applyBorder="1" applyAlignment="1">
      <alignment horizontal="left" vertical="center" wrapText="1"/>
    </xf>
    <xf numFmtId="0" fontId="16" fillId="0" borderId="0" xfId="5" applyFont="1" applyAlignment="1">
      <alignment horizontal="left" vertical="center" wrapText="1"/>
    </xf>
    <xf numFmtId="0" fontId="16" fillId="0" borderId="0" xfId="5" applyFont="1" applyAlignment="1">
      <alignment horizontal="justify" vertical="center" wrapText="1"/>
    </xf>
    <xf numFmtId="0" fontId="11" fillId="0" borderId="11" xfId="11" applyFont="1" applyBorder="1" applyAlignment="1">
      <alignment horizontal="left" vertical="center" wrapText="1"/>
    </xf>
    <xf numFmtId="0" fontId="16" fillId="0" borderId="0" xfId="5" applyFont="1" applyAlignment="1">
      <alignment horizontal="center" vertical="center"/>
    </xf>
    <xf numFmtId="0" fontId="11" fillId="0" borderId="0" xfId="5" applyFont="1" applyAlignment="1">
      <alignment horizontal="justify" vertical="center" wrapText="1"/>
    </xf>
    <xf numFmtId="0" fontId="22" fillId="5" borderId="3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165" fontId="22" fillId="5" borderId="3" xfId="0" applyNumberFormat="1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/>
    </xf>
    <xf numFmtId="0" fontId="23" fillId="0" borderId="3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0" fontId="22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7" fillId="0" borderId="0" xfId="5" applyFont="1" applyFill="1" applyAlignment="1">
      <alignment horizontal="center" vertical="center"/>
    </xf>
    <xf numFmtId="0" fontId="16" fillId="0" borderId="0" xfId="5" applyFont="1" applyFill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 wrapText="1"/>
    </xf>
    <xf numFmtId="166" fontId="10" fillId="0" borderId="13" xfId="0" applyNumberFormat="1" applyFont="1" applyFill="1" applyBorder="1" applyAlignment="1">
      <alignment horizontal="center" vertical="center" wrapText="1"/>
    </xf>
    <xf numFmtId="43" fontId="10" fillId="0" borderId="13" xfId="0" applyNumberFormat="1" applyFont="1" applyBorder="1"/>
    <xf numFmtId="0" fontId="10" fillId="5" borderId="13" xfId="2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>
      <alignment horizontal="center" vertical="center" wrapText="1"/>
    </xf>
    <xf numFmtId="0" fontId="34" fillId="11" borderId="0" xfId="5" applyFont="1" applyFill="1" applyAlignment="1">
      <alignment horizontal="center" vertical="center"/>
    </xf>
    <xf numFmtId="0" fontId="16" fillId="0" borderId="0" xfId="5" applyFont="1" applyFill="1" applyAlignment="1">
      <alignment horizontal="left" vertical="center" wrapText="1"/>
    </xf>
    <xf numFmtId="0" fontId="11" fillId="0" borderId="0" xfId="11" applyFont="1" applyBorder="1" applyAlignment="1">
      <alignment horizontal="left" vertical="center" wrapText="1"/>
    </xf>
    <xf numFmtId="0" fontId="19" fillId="0" borderId="0" xfId="5" applyFont="1" applyAlignment="1">
      <alignment horizontal="justify" vertical="center" wrapText="1"/>
    </xf>
    <xf numFmtId="0" fontId="16" fillId="0" borderId="0" xfId="1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3" fontId="15" fillId="0" borderId="0" xfId="0" applyNumberFormat="1" applyFont="1"/>
    <xf numFmtId="0" fontId="11" fillId="12" borderId="0" xfId="11" applyFont="1" applyFill="1" applyBorder="1" applyAlignment="1">
      <alignment horizontal="left" vertical="center" wrapText="1"/>
    </xf>
    <xf numFmtId="0" fontId="18" fillId="0" borderId="0" xfId="8" applyFont="1" applyBorder="1" applyAlignment="1" applyProtection="1">
      <alignment horizontal="left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justify" vertical="center" wrapText="1"/>
    </xf>
    <xf numFmtId="0" fontId="11" fillId="11" borderId="0" xfId="0" applyFont="1" applyFill="1" applyBorder="1" applyAlignment="1">
      <alignment horizontal="center" vertical="center" wrapText="1"/>
    </xf>
    <xf numFmtId="166" fontId="9" fillId="9" borderId="0" xfId="0" applyNumberFormat="1" applyFont="1" applyFill="1" applyBorder="1" applyAlignment="1">
      <alignment horizontal="center" vertical="center" wrapText="1"/>
    </xf>
    <xf numFmtId="43" fontId="10" fillId="0" borderId="0" xfId="0" applyNumberFormat="1" applyFont="1" applyBorder="1"/>
    <xf numFmtId="165" fontId="11" fillId="11" borderId="0" xfId="2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11" applyFont="1" applyBorder="1" applyAlignment="1">
      <alignment horizontal="center" vertical="center" wrapText="1"/>
    </xf>
    <xf numFmtId="166" fontId="35" fillId="0" borderId="3" xfId="0" applyNumberFormat="1" applyFont="1" applyBorder="1" applyAlignment="1">
      <alignment horizontal="center"/>
    </xf>
    <xf numFmtId="167" fontId="2" fillId="0" borderId="0" xfId="1"/>
    <xf numFmtId="167" fontId="0" fillId="0" borderId="0" xfId="1" applyFont="1"/>
    <xf numFmtId="167" fontId="16" fillId="0" borderId="0" xfId="1" applyFont="1" applyBorder="1" applyAlignment="1"/>
    <xf numFmtId="167" fontId="10" fillId="0" borderId="0" xfId="1" applyFont="1" applyBorder="1" applyAlignment="1"/>
    <xf numFmtId="0" fontId="6" fillId="0" borderId="0" xfId="0" applyFont="1" applyAlignment="1">
      <alignment vertical="center"/>
    </xf>
    <xf numFmtId="167" fontId="10" fillId="0" borderId="3" xfId="1" applyFont="1" applyBorder="1" applyAlignment="1">
      <alignment vertical="center"/>
    </xf>
    <xf numFmtId="167" fontId="9" fillId="11" borderId="3" xfId="0" applyNumberFormat="1" applyFont="1" applyFill="1" applyBorder="1" applyAlignment="1">
      <alignment vertical="center"/>
    </xf>
    <xf numFmtId="43" fontId="8" fillId="0" borderId="3" xfId="0" applyNumberFormat="1" applyFont="1" applyBorder="1" applyAlignment="1">
      <alignment vertical="center"/>
    </xf>
    <xf numFmtId="0" fontId="16" fillId="0" borderId="0" xfId="5" applyFont="1" applyAlignment="1">
      <alignment horizontal="center" vertical="center"/>
    </xf>
    <xf numFmtId="0" fontId="16" fillId="0" borderId="0" xfId="5" applyFont="1" applyFill="1" applyAlignment="1">
      <alignment horizontal="center" vertical="center"/>
    </xf>
    <xf numFmtId="43" fontId="6" fillId="0" borderId="8" xfId="0" applyNumberFormat="1" applyFont="1" applyBorder="1"/>
    <xf numFmtId="0" fontId="17" fillId="0" borderId="0" xfId="5" applyFont="1" applyAlignment="1">
      <alignment horizontal="center" vertical="center"/>
    </xf>
    <xf numFmtId="0" fontId="16" fillId="0" borderId="0" xfId="11" applyFont="1" applyAlignment="1">
      <alignment horizontal="center"/>
    </xf>
    <xf numFmtId="0" fontId="16" fillId="0" borderId="0" xfId="11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6" fillId="0" borderId="0" xfId="1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16" fillId="0" borderId="3" xfId="5" applyFont="1" applyBorder="1" applyAlignment="1">
      <alignment horizontal="center" vertical="center"/>
    </xf>
    <xf numFmtId="167" fontId="2" fillId="0" borderId="0" xfId="1" applyBorder="1"/>
    <xf numFmtId="0" fontId="6" fillId="0" borderId="0" xfId="0" applyFont="1" applyAlignment="1">
      <alignment horizontal="center" wrapText="1"/>
    </xf>
    <xf numFmtId="43" fontId="16" fillId="0" borderId="0" xfId="0" applyNumberFormat="1" applyFont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 wrapText="1"/>
    </xf>
    <xf numFmtId="168" fontId="23" fillId="13" borderId="3" xfId="1" applyNumberFormat="1" applyFont="1" applyFill="1" applyBorder="1" applyAlignment="1" applyProtection="1">
      <alignment horizontal="center"/>
    </xf>
    <xf numFmtId="167" fontId="6" fillId="0" borderId="0" xfId="1" applyFont="1" applyAlignment="1">
      <alignment vertical="center"/>
    </xf>
    <xf numFmtId="164" fontId="11" fillId="12" borderId="3" xfId="6" applyNumberFormat="1" applyFont="1" applyFill="1" applyBorder="1" applyAlignment="1">
      <alignment horizontal="justify" vertical="center" wrapText="1"/>
    </xf>
    <xf numFmtId="10" fontId="8" fillId="0" borderId="3" xfId="3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34" fillId="11" borderId="0" xfId="5" applyFont="1" applyFill="1" applyAlignment="1">
      <alignment horizontal="center" vertical="center"/>
    </xf>
    <xf numFmtId="0" fontId="16" fillId="0" borderId="0" xfId="5" applyFont="1" applyFill="1" applyAlignment="1">
      <alignment horizontal="left" vertical="center" wrapText="1"/>
    </xf>
    <xf numFmtId="0" fontId="16" fillId="0" borderId="0" xfId="11" applyFont="1" applyBorder="1" applyAlignment="1">
      <alignment horizontal="center" vertical="center"/>
    </xf>
    <xf numFmtId="0" fontId="11" fillId="0" borderId="0" xfId="11" applyFont="1" applyBorder="1" applyAlignment="1">
      <alignment horizontal="left" vertical="center" wrapText="1"/>
    </xf>
    <xf numFmtId="0" fontId="19" fillId="0" borderId="0" xfId="5" applyFont="1" applyAlignment="1">
      <alignment horizontal="justify" vertical="center" wrapText="1"/>
    </xf>
    <xf numFmtId="0" fontId="10" fillId="18" borderId="0" xfId="0" applyFont="1" applyFill="1"/>
    <xf numFmtId="0" fontId="6" fillId="18" borderId="0" xfId="0" applyFont="1" applyFill="1"/>
    <xf numFmtId="0" fontId="37" fillId="18" borderId="3" xfId="0" applyFont="1" applyFill="1" applyBorder="1" applyAlignment="1">
      <alignment horizontal="center" vertical="center"/>
    </xf>
    <xf numFmtId="166" fontId="37" fillId="18" borderId="3" xfId="0" applyNumberFormat="1" applyFont="1" applyFill="1" applyBorder="1" applyAlignment="1">
      <alignment horizontal="center"/>
    </xf>
    <xf numFmtId="166" fontId="37" fillId="18" borderId="0" xfId="0" applyNumberFormat="1" applyFont="1" applyFill="1" applyBorder="1" applyAlignment="1">
      <alignment horizontal="center"/>
    </xf>
    <xf numFmtId="0" fontId="15" fillId="18" borderId="0" xfId="0" applyFont="1" applyFill="1"/>
    <xf numFmtId="0" fontId="39" fillId="18" borderId="0" xfId="0" applyFont="1" applyFill="1"/>
    <xf numFmtId="0" fontId="8" fillId="18" borderId="0" xfId="0" applyFont="1" applyFill="1"/>
    <xf numFmtId="165" fontId="37" fillId="18" borderId="3" xfId="2" applyFont="1" applyFill="1" applyBorder="1" applyAlignment="1" applyProtection="1"/>
    <xf numFmtId="166" fontId="37" fillId="19" borderId="3" xfId="0" applyNumberFormat="1" applyFont="1" applyFill="1" applyBorder="1" applyAlignment="1">
      <alignment horizontal="center"/>
    </xf>
    <xf numFmtId="166" fontId="37" fillId="19" borderId="0" xfId="0" applyNumberFormat="1" applyFont="1" applyFill="1" applyBorder="1" applyAlignment="1">
      <alignment horizontal="center"/>
    </xf>
    <xf numFmtId="166" fontId="9" fillId="9" borderId="3" xfId="0" applyNumberFormat="1" applyFont="1" applyFill="1" applyBorder="1" applyAlignment="1">
      <alignment horizontal="center" vertical="center" wrapText="1"/>
    </xf>
    <xf numFmtId="165" fontId="2" fillId="0" borderId="3" xfId="2" applyBorder="1" applyAlignment="1">
      <alignment horizontal="center"/>
    </xf>
    <xf numFmtId="43" fontId="10" fillId="0" borderId="3" xfId="0" applyNumberFormat="1" applyFont="1" applyBorder="1" applyAlignment="1">
      <alignment horizontal="center"/>
    </xf>
    <xf numFmtId="10" fontId="2" fillId="0" borderId="3" xfId="3" applyNumberFormat="1" applyBorder="1" applyAlignment="1">
      <alignment horizontal="center"/>
    </xf>
    <xf numFmtId="165" fontId="11" fillId="11" borderId="3" xfId="2" applyFont="1" applyFill="1" applyBorder="1" applyAlignment="1">
      <alignment horizontal="center" vertical="center"/>
    </xf>
    <xf numFmtId="43" fontId="8" fillId="18" borderId="3" xfId="0" applyNumberFormat="1" applyFont="1" applyFill="1" applyBorder="1" applyAlignment="1">
      <alignment vertical="center"/>
    </xf>
    <xf numFmtId="164" fontId="8" fillId="18" borderId="3" xfId="6" applyNumberFormat="1" applyFont="1" applyFill="1" applyBorder="1" applyAlignment="1">
      <alignment horizontal="justify" vertical="center" wrapText="1"/>
    </xf>
    <xf numFmtId="166" fontId="37" fillId="19" borderId="3" xfId="0" applyNumberFormat="1" applyFont="1" applyFill="1" applyBorder="1" applyAlignment="1">
      <alignment horizontal="center" vertical="center"/>
    </xf>
    <xf numFmtId="166" fontId="37" fillId="19" borderId="0" xfId="0" applyNumberFormat="1" applyFont="1" applyFill="1" applyBorder="1" applyAlignment="1">
      <alignment horizontal="center" vertical="center"/>
    </xf>
    <xf numFmtId="165" fontId="37" fillId="18" borderId="3" xfId="2" applyFont="1" applyFill="1" applyBorder="1" applyAlignment="1" applyProtection="1">
      <alignment horizontal="center"/>
    </xf>
    <xf numFmtId="165" fontId="22" fillId="18" borderId="0" xfId="2" applyFont="1" applyFill="1" applyBorder="1" applyAlignment="1" applyProtection="1">
      <alignment horizontal="center"/>
    </xf>
    <xf numFmtId="0" fontId="19" fillId="0" borderId="0" xfId="5" applyFont="1" applyAlignment="1">
      <alignment horizontal="justify" vertical="center" wrapText="1"/>
    </xf>
    <xf numFmtId="0" fontId="16" fillId="0" borderId="0" xfId="11" applyFont="1" applyBorder="1" applyAlignment="1">
      <alignment horizontal="center" vertical="center"/>
    </xf>
    <xf numFmtId="0" fontId="11" fillId="0" borderId="0" xfId="11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34" fillId="11" borderId="0" xfId="5" applyFont="1" applyFill="1" applyAlignment="1">
      <alignment horizontal="center" vertical="center"/>
    </xf>
    <xf numFmtId="0" fontId="16" fillId="0" borderId="0" xfId="5" applyFont="1" applyFill="1" applyAlignment="1">
      <alignment horizontal="left" vertical="center" wrapText="1"/>
    </xf>
    <xf numFmtId="0" fontId="11" fillId="11" borderId="0" xfId="0" applyFont="1" applyFill="1" applyBorder="1" applyAlignment="1">
      <alignment horizontal="center" vertical="center" wrapText="1"/>
    </xf>
    <xf numFmtId="168" fontId="37" fillId="18" borderId="3" xfId="0" applyNumberFormat="1" applyFont="1" applyFill="1" applyBorder="1" applyAlignment="1">
      <alignment horizontal="center"/>
    </xf>
    <xf numFmtId="166" fontId="23" fillId="18" borderId="0" xfId="0" applyNumberFormat="1" applyFont="1" applyFill="1" applyBorder="1" applyAlignment="1">
      <alignment horizontal="center"/>
    </xf>
    <xf numFmtId="0" fontId="16" fillId="18" borderId="0" xfId="0" applyFont="1" applyFill="1"/>
    <xf numFmtId="0" fontId="27" fillId="18" borderId="0" xfId="0" applyFont="1" applyFill="1"/>
    <xf numFmtId="168" fontId="37" fillId="19" borderId="3" xfId="0" applyNumberFormat="1" applyFont="1" applyFill="1" applyBorder="1" applyAlignment="1">
      <alignment horizontal="center"/>
    </xf>
    <xf numFmtId="165" fontId="2" fillId="0" borderId="3" xfId="2" applyBorder="1"/>
    <xf numFmtId="43" fontId="11" fillId="0" borderId="0" xfId="0" applyNumberFormat="1" applyFont="1" applyBorder="1" applyAlignment="1">
      <alignment horizontal="center" vertical="center"/>
    </xf>
    <xf numFmtId="0" fontId="11" fillId="0" borderId="16" xfId="11" applyFont="1" applyBorder="1" applyAlignment="1">
      <alignment horizontal="center" vertical="center" wrapText="1"/>
    </xf>
    <xf numFmtId="0" fontId="11" fillId="0" borderId="19" xfId="11" applyFont="1" applyBorder="1" applyAlignment="1">
      <alignment horizontal="center" vertical="center" wrapText="1"/>
    </xf>
    <xf numFmtId="0" fontId="11" fillId="0" borderId="10" xfId="11" applyFont="1" applyBorder="1" applyAlignment="1">
      <alignment horizontal="center" vertical="center" wrapText="1"/>
    </xf>
    <xf numFmtId="0" fontId="11" fillId="0" borderId="12" xfId="11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16" fillId="0" borderId="0" xfId="5" applyFont="1" applyAlignment="1">
      <alignment horizontal="left" vertical="center" wrapText="1"/>
    </xf>
    <xf numFmtId="165" fontId="11" fillId="11" borderId="10" xfId="2" applyFont="1" applyFill="1" applyBorder="1" applyAlignment="1">
      <alignment horizontal="center" vertical="center"/>
    </xf>
    <xf numFmtId="165" fontId="11" fillId="11" borderId="12" xfId="2" applyFont="1" applyFill="1" applyBorder="1" applyAlignment="1">
      <alignment horizontal="center" vertical="center"/>
    </xf>
    <xf numFmtId="165" fontId="11" fillId="10" borderId="10" xfId="2" applyFont="1" applyFill="1" applyBorder="1" applyAlignment="1">
      <alignment horizontal="center" vertical="center"/>
    </xf>
    <xf numFmtId="165" fontId="11" fillId="10" borderId="12" xfId="2" applyFont="1" applyFill="1" applyBorder="1" applyAlignment="1">
      <alignment horizontal="center" vertical="center"/>
    </xf>
    <xf numFmtId="0" fontId="19" fillId="0" borderId="0" xfId="5" applyFont="1" applyAlignment="1">
      <alignment horizontal="justify" vertical="center" wrapText="1"/>
    </xf>
    <xf numFmtId="0" fontId="11" fillId="0" borderId="17" xfId="11" applyFont="1" applyBorder="1" applyAlignment="1">
      <alignment horizontal="center" vertical="center" wrapText="1"/>
    </xf>
    <xf numFmtId="0" fontId="33" fillId="0" borderId="0" xfId="5" applyFont="1" applyFill="1" applyAlignment="1">
      <alignment horizontal="left" vertical="center"/>
    </xf>
    <xf numFmtId="0" fontId="27" fillId="0" borderId="0" xfId="5" applyFont="1" applyFill="1" applyAlignment="1">
      <alignment horizontal="left" vertical="center"/>
    </xf>
    <xf numFmtId="0" fontId="11" fillId="0" borderId="10" xfId="11" applyFont="1" applyBorder="1" applyAlignment="1">
      <alignment horizontal="left" vertical="center" wrapText="1"/>
    </xf>
    <xf numFmtId="0" fontId="11" fillId="0" borderId="12" xfId="11" applyFont="1" applyBorder="1" applyAlignment="1">
      <alignment horizontal="left" vertical="center" wrapText="1"/>
    </xf>
    <xf numFmtId="0" fontId="18" fillId="0" borderId="10" xfId="8" applyFont="1" applyBorder="1" applyAlignment="1" applyProtection="1">
      <alignment horizontal="left" vertical="center" wrapText="1"/>
    </xf>
    <xf numFmtId="0" fontId="18" fillId="0" borderId="11" xfId="8" applyFont="1" applyBorder="1" applyAlignment="1" applyProtection="1">
      <alignment horizontal="left" vertical="center" wrapText="1"/>
    </xf>
    <xf numFmtId="0" fontId="18" fillId="0" borderId="12" xfId="8" applyFont="1" applyBorder="1" applyAlignment="1" applyProtection="1">
      <alignment horizontal="left" vertical="center" wrapText="1"/>
    </xf>
    <xf numFmtId="0" fontId="11" fillId="12" borderId="10" xfId="11" applyFont="1" applyFill="1" applyBorder="1" applyAlignment="1">
      <alignment horizontal="left" vertical="center" wrapText="1"/>
    </xf>
    <xf numFmtId="0" fontId="11" fillId="12" borderId="11" xfId="11" applyFont="1" applyFill="1" applyBorder="1" applyAlignment="1">
      <alignment horizontal="left" vertical="center" wrapText="1"/>
    </xf>
    <xf numFmtId="0" fontId="11" fillId="12" borderId="12" xfId="11" applyFont="1" applyFill="1" applyBorder="1" applyAlignment="1">
      <alignment horizontal="left" vertical="center" wrapText="1"/>
    </xf>
    <xf numFmtId="0" fontId="16" fillId="0" borderId="0" xfId="11" applyFont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16" fillId="0" borderId="0" xfId="5" applyFont="1" applyBorder="1" applyAlignment="1">
      <alignment horizontal="center" vertical="center"/>
    </xf>
    <xf numFmtId="0" fontId="11" fillId="0" borderId="15" xfId="11" applyFont="1" applyBorder="1" applyAlignment="1">
      <alignment horizontal="left" vertical="center" wrapText="1"/>
    </xf>
    <xf numFmtId="0" fontId="11" fillId="0" borderId="0" xfId="11" applyFont="1" applyBorder="1" applyAlignment="1">
      <alignment horizontal="left" vertical="center" wrapText="1"/>
    </xf>
    <xf numFmtId="0" fontId="16" fillId="0" borderId="10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6" fillId="0" borderId="12" xfId="0" applyFont="1" applyBorder="1" applyAlignment="1">
      <alignment horizontal="justify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1" fillId="0" borderId="11" xfId="11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6" fillId="0" borderId="14" xfId="1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1" fontId="11" fillId="0" borderId="11" xfId="11" applyNumberFormat="1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1" fillId="0" borderId="13" xfId="11" applyFont="1" applyBorder="1" applyAlignment="1">
      <alignment horizontal="left" vertical="center" wrapText="1"/>
    </xf>
    <xf numFmtId="0" fontId="16" fillId="0" borderId="0" xfId="5" applyFont="1" applyFill="1" applyAlignment="1">
      <alignment horizontal="center" vertical="center"/>
    </xf>
    <xf numFmtId="0" fontId="11" fillId="0" borderId="16" xfId="11" applyFont="1" applyBorder="1" applyAlignment="1">
      <alignment horizontal="left" vertical="center" wrapText="1"/>
    </xf>
    <xf numFmtId="0" fontId="11" fillId="0" borderId="19" xfId="11" applyFont="1" applyBorder="1" applyAlignment="1">
      <alignment horizontal="left" vertical="center" wrapText="1"/>
    </xf>
    <xf numFmtId="0" fontId="34" fillId="11" borderId="0" xfId="5" applyFont="1" applyFill="1" applyAlignment="1">
      <alignment horizontal="center" vertical="center"/>
    </xf>
    <xf numFmtId="0" fontId="16" fillId="0" borderId="0" xfId="5" applyFont="1" applyFill="1" applyAlignment="1">
      <alignment horizontal="left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0" borderId="0" xfId="5" applyFont="1" applyAlignment="1">
      <alignment horizontal="justify" vertical="center" wrapText="1"/>
    </xf>
    <xf numFmtId="0" fontId="16" fillId="0" borderId="0" xfId="5" applyFont="1" applyAlignment="1">
      <alignment horizontal="justify" vertical="center" wrapText="1"/>
    </xf>
    <xf numFmtId="0" fontId="16" fillId="0" borderId="0" xfId="5" applyFont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22" fillId="5" borderId="3" xfId="0" applyFont="1" applyFill="1" applyBorder="1" applyAlignment="1">
      <alignment horizontal="center" vertical="center" wrapText="1"/>
    </xf>
    <xf numFmtId="165" fontId="22" fillId="5" borderId="3" xfId="0" applyNumberFormat="1" applyFont="1" applyFill="1" applyBorder="1" applyAlignment="1">
      <alignment horizontal="center" vertical="center"/>
    </xf>
    <xf numFmtId="0" fontId="32" fillId="7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left"/>
    </xf>
    <xf numFmtId="10" fontId="22" fillId="5" borderId="0" xfId="0" applyNumberFormat="1" applyFont="1" applyFill="1" applyBorder="1" applyAlignment="1">
      <alignment horizontal="center"/>
    </xf>
    <xf numFmtId="0" fontId="24" fillId="5" borderId="3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vertical="center"/>
    </xf>
    <xf numFmtId="0" fontId="22" fillId="5" borderId="3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31" fillId="0" borderId="3" xfId="0" applyFont="1" applyBorder="1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30" fillId="6" borderId="3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left" vertical="center"/>
    </xf>
    <xf numFmtId="168" fontId="22" fillId="8" borderId="4" xfId="0" applyNumberFormat="1" applyFont="1" applyFill="1" applyBorder="1" applyAlignment="1">
      <alignment horizontal="center" vertical="center"/>
    </xf>
    <xf numFmtId="168" fontId="22" fillId="8" borderId="5" xfId="0" applyNumberFormat="1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9" fillId="0" borderId="3" xfId="0" applyFont="1" applyBorder="1" applyAlignment="1">
      <alignment vertical="center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Fill="1" applyBorder="1" applyAlignment="1">
      <alignment horizontal="left"/>
    </xf>
    <xf numFmtId="0" fontId="22" fillId="0" borderId="7" xfId="0" applyFont="1" applyFill="1" applyBorder="1" applyAlignment="1">
      <alignment horizontal="left"/>
    </xf>
    <xf numFmtId="0" fontId="22" fillId="0" borderId="5" xfId="0" applyFont="1" applyFill="1" applyBorder="1" applyAlignment="1">
      <alignment horizontal="left"/>
    </xf>
    <xf numFmtId="0" fontId="24" fillId="5" borderId="0" xfId="0" applyFont="1" applyFill="1" applyBorder="1" applyAlignment="1">
      <alignment horizontal="center" vertical="center"/>
    </xf>
    <xf numFmtId="10" fontId="24" fillId="5" borderId="0" xfId="0" applyNumberFormat="1" applyFont="1" applyFill="1" applyBorder="1" applyAlignment="1">
      <alignment horizontal="center"/>
    </xf>
    <xf numFmtId="0" fontId="37" fillId="18" borderId="3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left"/>
    </xf>
    <xf numFmtId="0" fontId="22" fillId="0" borderId="3" xfId="0" applyFont="1" applyBorder="1" applyAlignment="1"/>
    <xf numFmtId="0" fontId="24" fillId="4" borderId="3" xfId="0" applyFont="1" applyFill="1" applyBorder="1" applyAlignment="1">
      <alignment horizontal="left" vertical="center"/>
    </xf>
    <xf numFmtId="0" fontId="24" fillId="4" borderId="4" xfId="0" applyFont="1" applyFill="1" applyBorder="1" applyAlignment="1">
      <alignment horizontal="left" vertical="center"/>
    </xf>
    <xf numFmtId="0" fontId="24" fillId="4" borderId="7" xfId="0" applyFont="1" applyFill="1" applyBorder="1" applyAlignment="1">
      <alignment horizontal="left" vertical="center"/>
    </xf>
    <xf numFmtId="0" fontId="24" fillId="4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23" fillId="0" borderId="3" xfId="0" applyFont="1" applyBorder="1" applyAlignment="1"/>
    <xf numFmtId="0" fontId="24" fillId="5" borderId="0" xfId="0" applyFont="1" applyFill="1" applyBorder="1" applyAlignment="1">
      <alignment horizontal="center"/>
    </xf>
    <xf numFmtId="0" fontId="29" fillId="4" borderId="3" xfId="0" applyFont="1" applyFill="1" applyBorder="1" applyAlignment="1">
      <alignment horizontal="left" vertical="center"/>
    </xf>
    <xf numFmtId="0" fontId="37" fillId="18" borderId="3" xfId="0" applyFont="1" applyFill="1" applyBorder="1" applyAlignment="1"/>
    <xf numFmtId="0" fontId="22" fillId="5" borderId="3" xfId="0" applyFont="1" applyFill="1" applyBorder="1" applyAlignment="1"/>
    <xf numFmtId="0" fontId="22" fillId="0" borderId="3" xfId="0" applyFont="1" applyFill="1" applyBorder="1" applyAlignment="1"/>
    <xf numFmtId="10" fontId="22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7" fillId="18" borderId="3" xfId="0" applyFont="1" applyFill="1" applyBorder="1" applyAlignment="1">
      <alignment horizontal="left"/>
    </xf>
    <xf numFmtId="10" fontId="37" fillId="18" borderId="3" xfId="0" applyNumberFormat="1" applyFont="1" applyFill="1" applyBorder="1" applyAlignment="1">
      <alignment horizontal="center"/>
    </xf>
    <xf numFmtId="0" fontId="22" fillId="11" borderId="3" xfId="0" applyFont="1" applyFill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15" fontId="14" fillId="0" borderId="4" xfId="5" applyNumberFormat="1" applyFont="1" applyFill="1" applyBorder="1" applyAlignment="1">
      <alignment horizontal="center" vertical="center" wrapText="1"/>
    </xf>
    <xf numFmtId="15" fontId="14" fillId="0" borderId="5" xfId="5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/>
    </xf>
    <xf numFmtId="165" fontId="8" fillId="18" borderId="3" xfId="2" applyFont="1" applyFill="1" applyBorder="1" applyProtection="1"/>
    <xf numFmtId="0" fontId="6" fillId="0" borderId="0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left" vertical="center" wrapText="1"/>
    </xf>
    <xf numFmtId="0" fontId="24" fillId="0" borderId="2" xfId="9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14" fontId="23" fillId="0" borderId="3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14" fontId="29" fillId="0" borderId="3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left"/>
    </xf>
    <xf numFmtId="10" fontId="23" fillId="0" borderId="3" xfId="0" applyNumberFormat="1" applyFont="1" applyBorder="1" applyAlignment="1">
      <alignment horizontal="center"/>
    </xf>
    <xf numFmtId="0" fontId="22" fillId="18" borderId="3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/>
    </xf>
    <xf numFmtId="0" fontId="9" fillId="0" borderId="3" xfId="0" applyFont="1" applyBorder="1" applyAlignment="1">
      <alignment horizontal="right" vertical="center"/>
    </xf>
    <xf numFmtId="0" fontId="11" fillId="0" borderId="3" xfId="0" applyFont="1" applyFill="1" applyBorder="1" applyAlignment="1">
      <alignment horizontal="right" vertical="center" wrapText="1"/>
    </xf>
    <xf numFmtId="0" fontId="8" fillId="17" borderId="3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/>
    </xf>
    <xf numFmtId="0" fontId="8" fillId="15" borderId="7" xfId="0" applyFont="1" applyFill="1" applyBorder="1" applyAlignment="1">
      <alignment horizontal="center" vertical="center"/>
    </xf>
    <xf numFmtId="0" fontId="8" fillId="15" borderId="5" xfId="0" applyFont="1" applyFill="1" applyBorder="1" applyAlignment="1">
      <alignment horizontal="center" vertical="center"/>
    </xf>
    <xf numFmtId="0" fontId="8" fillId="18" borderId="3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1" fillId="0" borderId="3" xfId="0" applyFont="1" applyBorder="1" applyAlignment="1">
      <alignment horizontal="right" vertical="center"/>
    </xf>
    <xf numFmtId="0" fontId="11" fillId="12" borderId="3" xfId="0" applyFont="1" applyFill="1" applyBorder="1" applyAlignment="1">
      <alignment horizontal="right" vertical="center" wrapText="1"/>
    </xf>
    <xf numFmtId="0" fontId="8" fillId="16" borderId="4" xfId="0" applyFont="1" applyFill="1" applyBorder="1" applyAlignment="1">
      <alignment horizontal="center" vertical="center"/>
    </xf>
    <xf numFmtId="0" fontId="8" fillId="16" borderId="7" xfId="0" applyFont="1" applyFill="1" applyBorder="1" applyAlignment="1">
      <alignment horizontal="center" vertical="center"/>
    </xf>
    <xf numFmtId="0" fontId="8" fillId="16" borderId="5" xfId="0" applyFont="1" applyFill="1" applyBorder="1" applyAlignment="1">
      <alignment horizontal="center" vertical="center"/>
    </xf>
  </cellXfs>
  <cellStyles count="14">
    <cellStyle name="Hiperlink" xfId="8" builtinId="8"/>
    <cellStyle name="Moeda" xfId="2" builtinId="4"/>
    <cellStyle name="Moeda 2" xfId="10"/>
    <cellStyle name="Normal" xfId="0" builtinId="0"/>
    <cellStyle name="Normal 2" xfId="5"/>
    <cellStyle name="Normal 2 2" xfId="11"/>
    <cellStyle name="Normal 3" xfId="9"/>
    <cellStyle name="Porcentagem" xfId="3" builtinId="5"/>
    <cellStyle name="Separador de milhares 2 2" xfId="7"/>
    <cellStyle name="Texto Explicativo" xfId="4" builtinId="53" customBuiltin="1"/>
    <cellStyle name="Vírgula" xfId="1" builtinId="3"/>
    <cellStyle name="Vírgula 2" xfId="6"/>
    <cellStyle name="Vírgula 2 2" xfId="12"/>
    <cellStyle name="Vírgula 3" xfId="1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215968"/>
      <rgbColor rgb="FFBFBFBF"/>
      <rgbColor rgb="FF7F7F7F"/>
      <rgbColor rgb="FF9999FF"/>
      <rgbColor rgb="FF953735"/>
      <rgbColor rgb="FFF2F2F2"/>
      <rgbColor rgb="FFDCE6F2"/>
      <rgbColor rgb="FF660066"/>
      <rgbColor rgb="FFD99694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CE1"/>
      <rgbColor rgb="FFD7E4BD"/>
      <rgbColor rgb="FFF2DCDB"/>
      <rgbColor rgb="FFD9D9D9"/>
      <rgbColor rgb="FFFF99CC"/>
      <rgbColor rgb="FFCC99FF"/>
      <rgbColor rgb="FFDDD9C3"/>
      <rgbColor rgb="FF3366FF"/>
      <rgbColor rgb="FF33CCCC"/>
      <rgbColor rgb="FFC3D69B"/>
      <rgbColor rgb="FFFFCC00"/>
      <rgbColor rgb="FFFF9900"/>
      <rgbColor rgb="FFFA7D00"/>
      <rgbColor rgb="FF595959"/>
      <rgbColor rgb="FFA6A6A6"/>
      <rgbColor rgb="FF254061"/>
      <rgbColor rgb="FF00B050"/>
      <rgbColor rgb="FF0D0D0D"/>
      <rgbColor rgb="FF333300"/>
      <rgbColor rgb="FF993300"/>
      <rgbColor rgb="FF993366"/>
      <rgbColor rgb="FF1F497D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CC"/>
      <color rgb="FFCCFFFF"/>
      <color rgb="FF99CCFF"/>
      <color rgb="FFFF00FF"/>
      <color rgb="FF00FF00"/>
      <color rgb="FFFFFF66"/>
      <color rgb="FF0000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851940</xdr:colOff>
      <xdr:row>52</xdr:row>
      <xdr:rowOff>85560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851940</xdr:colOff>
      <xdr:row>52</xdr:row>
      <xdr:rowOff>85560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851940</xdr:colOff>
      <xdr:row>52</xdr:row>
      <xdr:rowOff>85560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851940</xdr:colOff>
      <xdr:row>52</xdr:row>
      <xdr:rowOff>85560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851940</xdr:colOff>
      <xdr:row>52</xdr:row>
      <xdr:rowOff>85560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851940</xdr:colOff>
      <xdr:row>52</xdr:row>
      <xdr:rowOff>85560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851940</xdr:colOff>
      <xdr:row>52</xdr:row>
      <xdr:rowOff>85560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851940</xdr:colOff>
      <xdr:row>52</xdr:row>
      <xdr:rowOff>85560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851940</xdr:colOff>
      <xdr:row>52</xdr:row>
      <xdr:rowOff>85560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851940</xdr:colOff>
      <xdr:row>52</xdr:row>
      <xdr:rowOff>85560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851940</xdr:colOff>
      <xdr:row>52</xdr:row>
      <xdr:rowOff>85560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851940</xdr:colOff>
      <xdr:row>52</xdr:row>
      <xdr:rowOff>85560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851940</xdr:colOff>
      <xdr:row>52</xdr:row>
      <xdr:rowOff>85560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49</xdr:row>
      <xdr:rowOff>142710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el@delservicos.com.br" TargetMode="External"/><Relationship Id="rId1" Type="http://schemas.openxmlformats.org/officeDocument/2006/relationships/hyperlink" Target="mailto:del@delservicos.com.br" TargetMode="Externa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JM101"/>
  <sheetViews>
    <sheetView tabSelected="1" view="pageBreakPreview" topLeftCell="A46" zoomScaleNormal="100" zoomScaleSheetLayoutView="100" workbookViewId="0">
      <selection activeCell="B41" sqref="B41:D41"/>
    </sheetView>
  </sheetViews>
  <sheetFormatPr defaultRowHeight="12.75" x14ac:dyDescent="0.25"/>
  <cols>
    <col min="1" max="1" width="6" style="16" customWidth="1"/>
    <col min="2" max="2" width="12" style="16" customWidth="1"/>
    <col min="3" max="3" width="25.85546875" style="16" customWidth="1"/>
    <col min="4" max="4" width="8.28515625" style="16" customWidth="1"/>
    <col min="5" max="5" width="12" style="16" customWidth="1"/>
    <col min="6" max="6" width="12.140625" style="16" customWidth="1"/>
    <col min="7" max="7" width="10.28515625" style="16" customWidth="1"/>
    <col min="8" max="8" width="9.5703125" style="16" customWidth="1"/>
    <col min="9" max="9" width="15.5703125" style="16" customWidth="1"/>
    <col min="10" max="10" width="14.42578125" style="16" customWidth="1"/>
    <col min="11" max="11" width="3.140625" style="16" customWidth="1"/>
    <col min="12" max="12" width="13.28515625" style="16" bestFit="1" customWidth="1"/>
    <col min="13" max="13" width="13.5703125" style="16" bestFit="1" customWidth="1"/>
    <col min="14" max="14" width="11.140625" style="16" customWidth="1"/>
    <col min="15" max="18" width="3.140625" style="16" customWidth="1"/>
    <col min="19" max="19" width="13.28515625" style="16" bestFit="1" customWidth="1"/>
    <col min="20" max="20" width="13.5703125" style="16" bestFit="1" customWidth="1"/>
    <col min="21" max="21" width="9" style="16" customWidth="1"/>
    <col min="22" max="24" width="12.28515625" style="16" customWidth="1"/>
    <col min="25" max="26" width="10.5703125" style="16" hidden="1" customWidth="1"/>
    <col min="27" max="27" width="2.7109375" style="16" hidden="1" customWidth="1"/>
    <col min="28" max="30" width="9.28515625" style="186" hidden="1" customWidth="1"/>
    <col min="31" max="31" width="8.85546875" style="16" customWidth="1"/>
    <col min="32" max="32" width="11.85546875" style="16" customWidth="1"/>
    <col min="33" max="269" width="9.140625" style="16"/>
    <col min="270" max="270" width="7.5703125" style="16" customWidth="1"/>
    <col min="271" max="271" width="15.5703125" style="16" customWidth="1"/>
    <col min="272" max="272" width="34.85546875" style="16" customWidth="1"/>
    <col min="273" max="273" width="13.5703125" style="16" customWidth="1"/>
    <col min="274" max="274" width="9.42578125" style="16" customWidth="1"/>
    <col min="275" max="275" width="19" style="16" customWidth="1"/>
    <col min="276" max="276" width="22.7109375" style="16" customWidth="1"/>
    <col min="277" max="525" width="9.140625" style="16"/>
    <col min="526" max="526" width="7.5703125" style="16" customWidth="1"/>
    <col min="527" max="527" width="15.5703125" style="16" customWidth="1"/>
    <col min="528" max="528" width="34.85546875" style="16" customWidth="1"/>
    <col min="529" max="529" width="13.5703125" style="16" customWidth="1"/>
    <col min="530" max="530" width="9.42578125" style="16" customWidth="1"/>
    <col min="531" max="531" width="19" style="16" customWidth="1"/>
    <col min="532" max="532" width="22.7109375" style="16" customWidth="1"/>
    <col min="533" max="781" width="9.140625" style="16"/>
    <col min="782" max="782" width="7.5703125" style="16" customWidth="1"/>
    <col min="783" max="783" width="15.5703125" style="16" customWidth="1"/>
    <col min="784" max="784" width="34.85546875" style="16" customWidth="1"/>
    <col min="785" max="785" width="13.5703125" style="16" customWidth="1"/>
    <col min="786" max="786" width="9.42578125" style="16" customWidth="1"/>
    <col min="787" max="787" width="19" style="16" customWidth="1"/>
    <col min="788" max="788" width="22.7109375" style="16" customWidth="1"/>
    <col min="789" max="1037" width="9.140625" style="16"/>
    <col min="1038" max="1038" width="7.5703125" style="16" customWidth="1"/>
    <col min="1039" max="1039" width="15.5703125" style="16" customWidth="1"/>
    <col min="1040" max="1040" width="34.85546875" style="16" customWidth="1"/>
    <col min="1041" max="1041" width="13.5703125" style="16" customWidth="1"/>
    <col min="1042" max="1042" width="9.42578125" style="16" customWidth="1"/>
    <col min="1043" max="1043" width="19" style="16" customWidth="1"/>
    <col min="1044" max="1044" width="22.7109375" style="16" customWidth="1"/>
    <col min="1045" max="1293" width="9.140625" style="16"/>
    <col min="1294" max="1294" width="7.5703125" style="16" customWidth="1"/>
    <col min="1295" max="1295" width="15.5703125" style="16" customWidth="1"/>
    <col min="1296" max="1296" width="34.85546875" style="16" customWidth="1"/>
    <col min="1297" max="1297" width="13.5703125" style="16" customWidth="1"/>
    <col min="1298" max="1298" width="9.42578125" style="16" customWidth="1"/>
    <col min="1299" max="1299" width="19" style="16" customWidth="1"/>
    <col min="1300" max="1300" width="22.7109375" style="16" customWidth="1"/>
    <col min="1301" max="1549" width="9.140625" style="16"/>
    <col min="1550" max="1550" width="7.5703125" style="16" customWidth="1"/>
    <col min="1551" max="1551" width="15.5703125" style="16" customWidth="1"/>
    <col min="1552" max="1552" width="34.85546875" style="16" customWidth="1"/>
    <col min="1553" max="1553" width="13.5703125" style="16" customWidth="1"/>
    <col min="1554" max="1554" width="9.42578125" style="16" customWidth="1"/>
    <col min="1555" max="1555" width="19" style="16" customWidth="1"/>
    <col min="1556" max="1556" width="22.7109375" style="16" customWidth="1"/>
    <col min="1557" max="1805" width="9.140625" style="16"/>
    <col min="1806" max="1806" width="7.5703125" style="16" customWidth="1"/>
    <col min="1807" max="1807" width="15.5703125" style="16" customWidth="1"/>
    <col min="1808" max="1808" width="34.85546875" style="16" customWidth="1"/>
    <col min="1809" max="1809" width="13.5703125" style="16" customWidth="1"/>
    <col min="1810" max="1810" width="9.42578125" style="16" customWidth="1"/>
    <col min="1811" max="1811" width="19" style="16" customWidth="1"/>
    <col min="1812" max="1812" width="22.7109375" style="16" customWidth="1"/>
    <col min="1813" max="2061" width="9.140625" style="16"/>
    <col min="2062" max="2062" width="7.5703125" style="16" customWidth="1"/>
    <col min="2063" max="2063" width="15.5703125" style="16" customWidth="1"/>
    <col min="2064" max="2064" width="34.85546875" style="16" customWidth="1"/>
    <col min="2065" max="2065" width="13.5703125" style="16" customWidth="1"/>
    <col min="2066" max="2066" width="9.42578125" style="16" customWidth="1"/>
    <col min="2067" max="2067" width="19" style="16" customWidth="1"/>
    <col min="2068" max="2068" width="22.7109375" style="16" customWidth="1"/>
    <col min="2069" max="2317" width="9.140625" style="16"/>
    <col min="2318" max="2318" width="7.5703125" style="16" customWidth="1"/>
    <col min="2319" max="2319" width="15.5703125" style="16" customWidth="1"/>
    <col min="2320" max="2320" width="34.85546875" style="16" customWidth="1"/>
    <col min="2321" max="2321" width="13.5703125" style="16" customWidth="1"/>
    <col min="2322" max="2322" width="9.42578125" style="16" customWidth="1"/>
    <col min="2323" max="2323" width="19" style="16" customWidth="1"/>
    <col min="2324" max="2324" width="22.7109375" style="16" customWidth="1"/>
    <col min="2325" max="2573" width="9.140625" style="16"/>
    <col min="2574" max="2574" width="7.5703125" style="16" customWidth="1"/>
    <col min="2575" max="2575" width="15.5703125" style="16" customWidth="1"/>
    <col min="2576" max="2576" width="34.85546875" style="16" customWidth="1"/>
    <col min="2577" max="2577" width="13.5703125" style="16" customWidth="1"/>
    <col min="2578" max="2578" width="9.42578125" style="16" customWidth="1"/>
    <col min="2579" max="2579" width="19" style="16" customWidth="1"/>
    <col min="2580" max="2580" width="22.7109375" style="16" customWidth="1"/>
    <col min="2581" max="2829" width="9.140625" style="16"/>
    <col min="2830" max="2830" width="7.5703125" style="16" customWidth="1"/>
    <col min="2831" max="2831" width="15.5703125" style="16" customWidth="1"/>
    <col min="2832" max="2832" width="34.85546875" style="16" customWidth="1"/>
    <col min="2833" max="2833" width="13.5703125" style="16" customWidth="1"/>
    <col min="2834" max="2834" width="9.42578125" style="16" customWidth="1"/>
    <col min="2835" max="2835" width="19" style="16" customWidth="1"/>
    <col min="2836" max="2836" width="22.7109375" style="16" customWidth="1"/>
    <col min="2837" max="3085" width="9.140625" style="16"/>
    <col min="3086" max="3086" width="7.5703125" style="16" customWidth="1"/>
    <col min="3087" max="3087" width="15.5703125" style="16" customWidth="1"/>
    <col min="3088" max="3088" width="34.85546875" style="16" customWidth="1"/>
    <col min="3089" max="3089" width="13.5703125" style="16" customWidth="1"/>
    <col min="3090" max="3090" width="9.42578125" style="16" customWidth="1"/>
    <col min="3091" max="3091" width="19" style="16" customWidth="1"/>
    <col min="3092" max="3092" width="22.7109375" style="16" customWidth="1"/>
    <col min="3093" max="3341" width="9.140625" style="16"/>
    <col min="3342" max="3342" width="7.5703125" style="16" customWidth="1"/>
    <col min="3343" max="3343" width="15.5703125" style="16" customWidth="1"/>
    <col min="3344" max="3344" width="34.85546875" style="16" customWidth="1"/>
    <col min="3345" max="3345" width="13.5703125" style="16" customWidth="1"/>
    <col min="3346" max="3346" width="9.42578125" style="16" customWidth="1"/>
    <col min="3347" max="3347" width="19" style="16" customWidth="1"/>
    <col min="3348" max="3348" width="22.7109375" style="16" customWidth="1"/>
    <col min="3349" max="3597" width="9.140625" style="16"/>
    <col min="3598" max="3598" width="7.5703125" style="16" customWidth="1"/>
    <col min="3599" max="3599" width="15.5703125" style="16" customWidth="1"/>
    <col min="3600" max="3600" width="34.85546875" style="16" customWidth="1"/>
    <col min="3601" max="3601" width="13.5703125" style="16" customWidth="1"/>
    <col min="3602" max="3602" width="9.42578125" style="16" customWidth="1"/>
    <col min="3603" max="3603" width="19" style="16" customWidth="1"/>
    <col min="3604" max="3604" width="22.7109375" style="16" customWidth="1"/>
    <col min="3605" max="3853" width="9.140625" style="16"/>
    <col min="3854" max="3854" width="7.5703125" style="16" customWidth="1"/>
    <col min="3855" max="3855" width="15.5703125" style="16" customWidth="1"/>
    <col min="3856" max="3856" width="34.85546875" style="16" customWidth="1"/>
    <col min="3857" max="3857" width="13.5703125" style="16" customWidth="1"/>
    <col min="3858" max="3858" width="9.42578125" style="16" customWidth="1"/>
    <col min="3859" max="3859" width="19" style="16" customWidth="1"/>
    <col min="3860" max="3860" width="22.7109375" style="16" customWidth="1"/>
    <col min="3861" max="4109" width="9.140625" style="16"/>
    <col min="4110" max="4110" width="7.5703125" style="16" customWidth="1"/>
    <col min="4111" max="4111" width="15.5703125" style="16" customWidth="1"/>
    <col min="4112" max="4112" width="34.85546875" style="16" customWidth="1"/>
    <col min="4113" max="4113" width="13.5703125" style="16" customWidth="1"/>
    <col min="4114" max="4114" width="9.42578125" style="16" customWidth="1"/>
    <col min="4115" max="4115" width="19" style="16" customWidth="1"/>
    <col min="4116" max="4116" width="22.7109375" style="16" customWidth="1"/>
    <col min="4117" max="4365" width="9.140625" style="16"/>
    <col min="4366" max="4366" width="7.5703125" style="16" customWidth="1"/>
    <col min="4367" max="4367" width="15.5703125" style="16" customWidth="1"/>
    <col min="4368" max="4368" width="34.85546875" style="16" customWidth="1"/>
    <col min="4369" max="4369" width="13.5703125" style="16" customWidth="1"/>
    <col min="4370" max="4370" width="9.42578125" style="16" customWidth="1"/>
    <col min="4371" max="4371" width="19" style="16" customWidth="1"/>
    <col min="4372" max="4372" width="22.7109375" style="16" customWidth="1"/>
    <col min="4373" max="4621" width="9.140625" style="16"/>
    <col min="4622" max="4622" width="7.5703125" style="16" customWidth="1"/>
    <col min="4623" max="4623" width="15.5703125" style="16" customWidth="1"/>
    <col min="4624" max="4624" width="34.85546875" style="16" customWidth="1"/>
    <col min="4625" max="4625" width="13.5703125" style="16" customWidth="1"/>
    <col min="4626" max="4626" width="9.42578125" style="16" customWidth="1"/>
    <col min="4627" max="4627" width="19" style="16" customWidth="1"/>
    <col min="4628" max="4628" width="22.7109375" style="16" customWidth="1"/>
    <col min="4629" max="4877" width="9.140625" style="16"/>
    <col min="4878" max="4878" width="7.5703125" style="16" customWidth="1"/>
    <col min="4879" max="4879" width="15.5703125" style="16" customWidth="1"/>
    <col min="4880" max="4880" width="34.85546875" style="16" customWidth="1"/>
    <col min="4881" max="4881" width="13.5703125" style="16" customWidth="1"/>
    <col min="4882" max="4882" width="9.42578125" style="16" customWidth="1"/>
    <col min="4883" max="4883" width="19" style="16" customWidth="1"/>
    <col min="4884" max="4884" width="22.7109375" style="16" customWidth="1"/>
    <col min="4885" max="5133" width="9.140625" style="16"/>
    <col min="5134" max="5134" width="7.5703125" style="16" customWidth="1"/>
    <col min="5135" max="5135" width="15.5703125" style="16" customWidth="1"/>
    <col min="5136" max="5136" width="34.85546875" style="16" customWidth="1"/>
    <col min="5137" max="5137" width="13.5703125" style="16" customWidth="1"/>
    <col min="5138" max="5138" width="9.42578125" style="16" customWidth="1"/>
    <col min="5139" max="5139" width="19" style="16" customWidth="1"/>
    <col min="5140" max="5140" width="22.7109375" style="16" customWidth="1"/>
    <col min="5141" max="5389" width="9.140625" style="16"/>
    <col min="5390" max="5390" width="7.5703125" style="16" customWidth="1"/>
    <col min="5391" max="5391" width="15.5703125" style="16" customWidth="1"/>
    <col min="5392" max="5392" width="34.85546875" style="16" customWidth="1"/>
    <col min="5393" max="5393" width="13.5703125" style="16" customWidth="1"/>
    <col min="5394" max="5394" width="9.42578125" style="16" customWidth="1"/>
    <col min="5395" max="5395" width="19" style="16" customWidth="1"/>
    <col min="5396" max="5396" width="22.7109375" style="16" customWidth="1"/>
    <col min="5397" max="5645" width="9.140625" style="16"/>
    <col min="5646" max="5646" width="7.5703125" style="16" customWidth="1"/>
    <col min="5647" max="5647" width="15.5703125" style="16" customWidth="1"/>
    <col min="5648" max="5648" width="34.85546875" style="16" customWidth="1"/>
    <col min="5649" max="5649" width="13.5703125" style="16" customWidth="1"/>
    <col min="5650" max="5650" width="9.42578125" style="16" customWidth="1"/>
    <col min="5651" max="5651" width="19" style="16" customWidth="1"/>
    <col min="5652" max="5652" width="22.7109375" style="16" customWidth="1"/>
    <col min="5653" max="5901" width="9.140625" style="16"/>
    <col min="5902" max="5902" width="7.5703125" style="16" customWidth="1"/>
    <col min="5903" max="5903" width="15.5703125" style="16" customWidth="1"/>
    <col min="5904" max="5904" width="34.85546875" style="16" customWidth="1"/>
    <col min="5905" max="5905" width="13.5703125" style="16" customWidth="1"/>
    <col min="5906" max="5906" width="9.42578125" style="16" customWidth="1"/>
    <col min="5907" max="5907" width="19" style="16" customWidth="1"/>
    <col min="5908" max="5908" width="22.7109375" style="16" customWidth="1"/>
    <col min="5909" max="6157" width="9.140625" style="16"/>
    <col min="6158" max="6158" width="7.5703125" style="16" customWidth="1"/>
    <col min="6159" max="6159" width="15.5703125" style="16" customWidth="1"/>
    <col min="6160" max="6160" width="34.85546875" style="16" customWidth="1"/>
    <col min="6161" max="6161" width="13.5703125" style="16" customWidth="1"/>
    <col min="6162" max="6162" width="9.42578125" style="16" customWidth="1"/>
    <col min="6163" max="6163" width="19" style="16" customWidth="1"/>
    <col min="6164" max="6164" width="22.7109375" style="16" customWidth="1"/>
    <col min="6165" max="6413" width="9.140625" style="16"/>
    <col min="6414" max="6414" width="7.5703125" style="16" customWidth="1"/>
    <col min="6415" max="6415" width="15.5703125" style="16" customWidth="1"/>
    <col min="6416" max="6416" width="34.85546875" style="16" customWidth="1"/>
    <col min="6417" max="6417" width="13.5703125" style="16" customWidth="1"/>
    <col min="6418" max="6418" width="9.42578125" style="16" customWidth="1"/>
    <col min="6419" max="6419" width="19" style="16" customWidth="1"/>
    <col min="6420" max="6420" width="22.7109375" style="16" customWidth="1"/>
    <col min="6421" max="6669" width="9.140625" style="16"/>
    <col min="6670" max="6670" width="7.5703125" style="16" customWidth="1"/>
    <col min="6671" max="6671" width="15.5703125" style="16" customWidth="1"/>
    <col min="6672" max="6672" width="34.85546875" style="16" customWidth="1"/>
    <col min="6673" max="6673" width="13.5703125" style="16" customWidth="1"/>
    <col min="6674" max="6674" width="9.42578125" style="16" customWidth="1"/>
    <col min="6675" max="6675" width="19" style="16" customWidth="1"/>
    <col min="6676" max="6676" width="22.7109375" style="16" customWidth="1"/>
    <col min="6677" max="6925" width="9.140625" style="16"/>
    <col min="6926" max="6926" width="7.5703125" style="16" customWidth="1"/>
    <col min="6927" max="6927" width="15.5703125" style="16" customWidth="1"/>
    <col min="6928" max="6928" width="34.85546875" style="16" customWidth="1"/>
    <col min="6929" max="6929" width="13.5703125" style="16" customWidth="1"/>
    <col min="6930" max="6930" width="9.42578125" style="16" customWidth="1"/>
    <col min="6931" max="6931" width="19" style="16" customWidth="1"/>
    <col min="6932" max="6932" width="22.7109375" style="16" customWidth="1"/>
    <col min="6933" max="7181" width="9.140625" style="16"/>
    <col min="7182" max="7182" width="7.5703125" style="16" customWidth="1"/>
    <col min="7183" max="7183" width="15.5703125" style="16" customWidth="1"/>
    <col min="7184" max="7184" width="34.85546875" style="16" customWidth="1"/>
    <col min="7185" max="7185" width="13.5703125" style="16" customWidth="1"/>
    <col min="7186" max="7186" width="9.42578125" style="16" customWidth="1"/>
    <col min="7187" max="7187" width="19" style="16" customWidth="1"/>
    <col min="7188" max="7188" width="22.7109375" style="16" customWidth="1"/>
    <col min="7189" max="7437" width="9.140625" style="16"/>
    <col min="7438" max="7438" width="7.5703125" style="16" customWidth="1"/>
    <col min="7439" max="7439" width="15.5703125" style="16" customWidth="1"/>
    <col min="7440" max="7440" width="34.85546875" style="16" customWidth="1"/>
    <col min="7441" max="7441" width="13.5703125" style="16" customWidth="1"/>
    <col min="7442" max="7442" width="9.42578125" style="16" customWidth="1"/>
    <col min="7443" max="7443" width="19" style="16" customWidth="1"/>
    <col min="7444" max="7444" width="22.7109375" style="16" customWidth="1"/>
    <col min="7445" max="7693" width="9.140625" style="16"/>
    <col min="7694" max="7694" width="7.5703125" style="16" customWidth="1"/>
    <col min="7695" max="7695" width="15.5703125" style="16" customWidth="1"/>
    <col min="7696" max="7696" width="34.85546875" style="16" customWidth="1"/>
    <col min="7697" max="7697" width="13.5703125" style="16" customWidth="1"/>
    <col min="7698" max="7698" width="9.42578125" style="16" customWidth="1"/>
    <col min="7699" max="7699" width="19" style="16" customWidth="1"/>
    <col min="7700" max="7700" width="22.7109375" style="16" customWidth="1"/>
    <col min="7701" max="7949" width="9.140625" style="16"/>
    <col min="7950" max="7950" width="7.5703125" style="16" customWidth="1"/>
    <col min="7951" max="7951" width="15.5703125" style="16" customWidth="1"/>
    <col min="7952" max="7952" width="34.85546875" style="16" customWidth="1"/>
    <col min="7953" max="7953" width="13.5703125" style="16" customWidth="1"/>
    <col min="7954" max="7954" width="9.42578125" style="16" customWidth="1"/>
    <col min="7955" max="7955" width="19" style="16" customWidth="1"/>
    <col min="7956" max="7956" width="22.7109375" style="16" customWidth="1"/>
    <col min="7957" max="8205" width="9.140625" style="16"/>
    <col min="8206" max="8206" width="7.5703125" style="16" customWidth="1"/>
    <col min="8207" max="8207" width="15.5703125" style="16" customWidth="1"/>
    <col min="8208" max="8208" width="34.85546875" style="16" customWidth="1"/>
    <col min="8209" max="8209" width="13.5703125" style="16" customWidth="1"/>
    <col min="8210" max="8210" width="9.42578125" style="16" customWidth="1"/>
    <col min="8211" max="8211" width="19" style="16" customWidth="1"/>
    <col min="8212" max="8212" width="22.7109375" style="16" customWidth="1"/>
    <col min="8213" max="8461" width="9.140625" style="16"/>
    <col min="8462" max="8462" width="7.5703125" style="16" customWidth="1"/>
    <col min="8463" max="8463" width="15.5703125" style="16" customWidth="1"/>
    <col min="8464" max="8464" width="34.85546875" style="16" customWidth="1"/>
    <col min="8465" max="8465" width="13.5703125" style="16" customWidth="1"/>
    <col min="8466" max="8466" width="9.42578125" style="16" customWidth="1"/>
    <col min="8467" max="8467" width="19" style="16" customWidth="1"/>
    <col min="8468" max="8468" width="22.7109375" style="16" customWidth="1"/>
    <col min="8469" max="8717" width="9.140625" style="16"/>
    <col min="8718" max="8718" width="7.5703125" style="16" customWidth="1"/>
    <col min="8719" max="8719" width="15.5703125" style="16" customWidth="1"/>
    <col min="8720" max="8720" width="34.85546875" style="16" customWidth="1"/>
    <col min="8721" max="8721" width="13.5703125" style="16" customWidth="1"/>
    <col min="8722" max="8722" width="9.42578125" style="16" customWidth="1"/>
    <col min="8723" max="8723" width="19" style="16" customWidth="1"/>
    <col min="8724" max="8724" width="22.7109375" style="16" customWidth="1"/>
    <col min="8725" max="8973" width="9.140625" style="16"/>
    <col min="8974" max="8974" width="7.5703125" style="16" customWidth="1"/>
    <col min="8975" max="8975" width="15.5703125" style="16" customWidth="1"/>
    <col min="8976" max="8976" width="34.85546875" style="16" customWidth="1"/>
    <col min="8977" max="8977" width="13.5703125" style="16" customWidth="1"/>
    <col min="8978" max="8978" width="9.42578125" style="16" customWidth="1"/>
    <col min="8979" max="8979" width="19" style="16" customWidth="1"/>
    <col min="8980" max="8980" width="22.7109375" style="16" customWidth="1"/>
    <col min="8981" max="9229" width="9.140625" style="16"/>
    <col min="9230" max="9230" width="7.5703125" style="16" customWidth="1"/>
    <col min="9231" max="9231" width="15.5703125" style="16" customWidth="1"/>
    <col min="9232" max="9232" width="34.85546875" style="16" customWidth="1"/>
    <col min="9233" max="9233" width="13.5703125" style="16" customWidth="1"/>
    <col min="9234" max="9234" width="9.42578125" style="16" customWidth="1"/>
    <col min="9235" max="9235" width="19" style="16" customWidth="1"/>
    <col min="9236" max="9236" width="22.7109375" style="16" customWidth="1"/>
    <col min="9237" max="9485" width="9.140625" style="16"/>
    <col min="9486" max="9486" width="7.5703125" style="16" customWidth="1"/>
    <col min="9487" max="9487" width="15.5703125" style="16" customWidth="1"/>
    <col min="9488" max="9488" width="34.85546875" style="16" customWidth="1"/>
    <col min="9489" max="9489" width="13.5703125" style="16" customWidth="1"/>
    <col min="9490" max="9490" width="9.42578125" style="16" customWidth="1"/>
    <col min="9491" max="9491" width="19" style="16" customWidth="1"/>
    <col min="9492" max="9492" width="22.7109375" style="16" customWidth="1"/>
    <col min="9493" max="9741" width="9.140625" style="16"/>
    <col min="9742" max="9742" width="7.5703125" style="16" customWidth="1"/>
    <col min="9743" max="9743" width="15.5703125" style="16" customWidth="1"/>
    <col min="9744" max="9744" width="34.85546875" style="16" customWidth="1"/>
    <col min="9745" max="9745" width="13.5703125" style="16" customWidth="1"/>
    <col min="9746" max="9746" width="9.42578125" style="16" customWidth="1"/>
    <col min="9747" max="9747" width="19" style="16" customWidth="1"/>
    <col min="9748" max="9748" width="22.7109375" style="16" customWidth="1"/>
    <col min="9749" max="9997" width="9.140625" style="16"/>
    <col min="9998" max="9998" width="7.5703125" style="16" customWidth="1"/>
    <col min="9999" max="9999" width="15.5703125" style="16" customWidth="1"/>
    <col min="10000" max="10000" width="34.85546875" style="16" customWidth="1"/>
    <col min="10001" max="10001" width="13.5703125" style="16" customWidth="1"/>
    <col min="10002" max="10002" width="9.42578125" style="16" customWidth="1"/>
    <col min="10003" max="10003" width="19" style="16" customWidth="1"/>
    <col min="10004" max="10004" width="22.7109375" style="16" customWidth="1"/>
    <col min="10005" max="10253" width="9.140625" style="16"/>
    <col min="10254" max="10254" width="7.5703125" style="16" customWidth="1"/>
    <col min="10255" max="10255" width="15.5703125" style="16" customWidth="1"/>
    <col min="10256" max="10256" width="34.85546875" style="16" customWidth="1"/>
    <col min="10257" max="10257" width="13.5703125" style="16" customWidth="1"/>
    <col min="10258" max="10258" width="9.42578125" style="16" customWidth="1"/>
    <col min="10259" max="10259" width="19" style="16" customWidth="1"/>
    <col min="10260" max="10260" width="22.7109375" style="16" customWidth="1"/>
    <col min="10261" max="10509" width="9.140625" style="16"/>
    <col min="10510" max="10510" width="7.5703125" style="16" customWidth="1"/>
    <col min="10511" max="10511" width="15.5703125" style="16" customWidth="1"/>
    <col min="10512" max="10512" width="34.85546875" style="16" customWidth="1"/>
    <col min="10513" max="10513" width="13.5703125" style="16" customWidth="1"/>
    <col min="10514" max="10514" width="9.42578125" style="16" customWidth="1"/>
    <col min="10515" max="10515" width="19" style="16" customWidth="1"/>
    <col min="10516" max="10516" width="22.7109375" style="16" customWidth="1"/>
    <col min="10517" max="10765" width="9.140625" style="16"/>
    <col min="10766" max="10766" width="7.5703125" style="16" customWidth="1"/>
    <col min="10767" max="10767" width="15.5703125" style="16" customWidth="1"/>
    <col min="10768" max="10768" width="34.85546875" style="16" customWidth="1"/>
    <col min="10769" max="10769" width="13.5703125" style="16" customWidth="1"/>
    <col min="10770" max="10770" width="9.42578125" style="16" customWidth="1"/>
    <col min="10771" max="10771" width="19" style="16" customWidth="1"/>
    <col min="10772" max="10772" width="22.7109375" style="16" customWidth="1"/>
    <col min="10773" max="11021" width="9.140625" style="16"/>
    <col min="11022" max="11022" width="7.5703125" style="16" customWidth="1"/>
    <col min="11023" max="11023" width="15.5703125" style="16" customWidth="1"/>
    <col min="11024" max="11024" width="34.85546875" style="16" customWidth="1"/>
    <col min="11025" max="11025" width="13.5703125" style="16" customWidth="1"/>
    <col min="11026" max="11026" width="9.42578125" style="16" customWidth="1"/>
    <col min="11027" max="11027" width="19" style="16" customWidth="1"/>
    <col min="11028" max="11028" width="22.7109375" style="16" customWidth="1"/>
    <col min="11029" max="11277" width="9.140625" style="16"/>
    <col min="11278" max="11278" width="7.5703125" style="16" customWidth="1"/>
    <col min="11279" max="11279" width="15.5703125" style="16" customWidth="1"/>
    <col min="11280" max="11280" width="34.85546875" style="16" customWidth="1"/>
    <col min="11281" max="11281" width="13.5703125" style="16" customWidth="1"/>
    <col min="11282" max="11282" width="9.42578125" style="16" customWidth="1"/>
    <col min="11283" max="11283" width="19" style="16" customWidth="1"/>
    <col min="11284" max="11284" width="22.7109375" style="16" customWidth="1"/>
    <col min="11285" max="11533" width="9.140625" style="16"/>
    <col min="11534" max="11534" width="7.5703125" style="16" customWidth="1"/>
    <col min="11535" max="11535" width="15.5703125" style="16" customWidth="1"/>
    <col min="11536" max="11536" width="34.85546875" style="16" customWidth="1"/>
    <col min="11537" max="11537" width="13.5703125" style="16" customWidth="1"/>
    <col min="11538" max="11538" width="9.42578125" style="16" customWidth="1"/>
    <col min="11539" max="11539" width="19" style="16" customWidth="1"/>
    <col min="11540" max="11540" width="22.7109375" style="16" customWidth="1"/>
    <col min="11541" max="11789" width="9.140625" style="16"/>
    <col min="11790" max="11790" width="7.5703125" style="16" customWidth="1"/>
    <col min="11791" max="11791" width="15.5703125" style="16" customWidth="1"/>
    <col min="11792" max="11792" width="34.85546875" style="16" customWidth="1"/>
    <col min="11793" max="11793" width="13.5703125" style="16" customWidth="1"/>
    <col min="11794" max="11794" width="9.42578125" style="16" customWidth="1"/>
    <col min="11795" max="11795" width="19" style="16" customWidth="1"/>
    <col min="11796" max="11796" width="22.7109375" style="16" customWidth="1"/>
    <col min="11797" max="12045" width="9.140625" style="16"/>
    <col min="12046" max="12046" width="7.5703125" style="16" customWidth="1"/>
    <col min="12047" max="12047" width="15.5703125" style="16" customWidth="1"/>
    <col min="12048" max="12048" width="34.85546875" style="16" customWidth="1"/>
    <col min="12049" max="12049" width="13.5703125" style="16" customWidth="1"/>
    <col min="12050" max="12050" width="9.42578125" style="16" customWidth="1"/>
    <col min="12051" max="12051" width="19" style="16" customWidth="1"/>
    <col min="12052" max="12052" width="22.7109375" style="16" customWidth="1"/>
    <col min="12053" max="12301" width="9.140625" style="16"/>
    <col min="12302" max="12302" width="7.5703125" style="16" customWidth="1"/>
    <col min="12303" max="12303" width="15.5703125" style="16" customWidth="1"/>
    <col min="12304" max="12304" width="34.85546875" style="16" customWidth="1"/>
    <col min="12305" max="12305" width="13.5703125" style="16" customWidth="1"/>
    <col min="12306" max="12306" width="9.42578125" style="16" customWidth="1"/>
    <col min="12307" max="12307" width="19" style="16" customWidth="1"/>
    <col min="12308" max="12308" width="22.7109375" style="16" customWidth="1"/>
    <col min="12309" max="12557" width="9.140625" style="16"/>
    <col min="12558" max="12558" width="7.5703125" style="16" customWidth="1"/>
    <col min="12559" max="12559" width="15.5703125" style="16" customWidth="1"/>
    <col min="12560" max="12560" width="34.85546875" style="16" customWidth="1"/>
    <col min="12561" max="12561" width="13.5703125" style="16" customWidth="1"/>
    <col min="12562" max="12562" width="9.42578125" style="16" customWidth="1"/>
    <col min="12563" max="12563" width="19" style="16" customWidth="1"/>
    <col min="12564" max="12564" width="22.7109375" style="16" customWidth="1"/>
    <col min="12565" max="12813" width="9.140625" style="16"/>
    <col min="12814" max="12814" width="7.5703125" style="16" customWidth="1"/>
    <col min="12815" max="12815" width="15.5703125" style="16" customWidth="1"/>
    <col min="12816" max="12816" width="34.85546875" style="16" customWidth="1"/>
    <col min="12817" max="12817" width="13.5703125" style="16" customWidth="1"/>
    <col min="12818" max="12818" width="9.42578125" style="16" customWidth="1"/>
    <col min="12819" max="12819" width="19" style="16" customWidth="1"/>
    <col min="12820" max="12820" width="22.7109375" style="16" customWidth="1"/>
    <col min="12821" max="13069" width="9.140625" style="16"/>
    <col min="13070" max="13070" width="7.5703125" style="16" customWidth="1"/>
    <col min="13071" max="13071" width="15.5703125" style="16" customWidth="1"/>
    <col min="13072" max="13072" width="34.85546875" style="16" customWidth="1"/>
    <col min="13073" max="13073" width="13.5703125" style="16" customWidth="1"/>
    <col min="13074" max="13074" width="9.42578125" style="16" customWidth="1"/>
    <col min="13075" max="13075" width="19" style="16" customWidth="1"/>
    <col min="13076" max="13076" width="22.7109375" style="16" customWidth="1"/>
    <col min="13077" max="13325" width="9.140625" style="16"/>
    <col min="13326" max="13326" width="7.5703125" style="16" customWidth="1"/>
    <col min="13327" max="13327" width="15.5703125" style="16" customWidth="1"/>
    <col min="13328" max="13328" width="34.85546875" style="16" customWidth="1"/>
    <col min="13329" max="13329" width="13.5703125" style="16" customWidth="1"/>
    <col min="13330" max="13330" width="9.42578125" style="16" customWidth="1"/>
    <col min="13331" max="13331" width="19" style="16" customWidth="1"/>
    <col min="13332" max="13332" width="22.7109375" style="16" customWidth="1"/>
    <col min="13333" max="13581" width="9.140625" style="16"/>
    <col min="13582" max="13582" width="7.5703125" style="16" customWidth="1"/>
    <col min="13583" max="13583" width="15.5703125" style="16" customWidth="1"/>
    <col min="13584" max="13584" width="34.85546875" style="16" customWidth="1"/>
    <col min="13585" max="13585" width="13.5703125" style="16" customWidth="1"/>
    <col min="13586" max="13586" width="9.42578125" style="16" customWidth="1"/>
    <col min="13587" max="13587" width="19" style="16" customWidth="1"/>
    <col min="13588" max="13588" width="22.7109375" style="16" customWidth="1"/>
    <col min="13589" max="13837" width="9.140625" style="16"/>
    <col min="13838" max="13838" width="7.5703125" style="16" customWidth="1"/>
    <col min="13839" max="13839" width="15.5703125" style="16" customWidth="1"/>
    <col min="13840" max="13840" width="34.85546875" style="16" customWidth="1"/>
    <col min="13841" max="13841" width="13.5703125" style="16" customWidth="1"/>
    <col min="13842" max="13842" width="9.42578125" style="16" customWidth="1"/>
    <col min="13843" max="13843" width="19" style="16" customWidth="1"/>
    <col min="13844" max="13844" width="22.7109375" style="16" customWidth="1"/>
    <col min="13845" max="14093" width="9.140625" style="16"/>
    <col min="14094" max="14094" width="7.5703125" style="16" customWidth="1"/>
    <col min="14095" max="14095" width="15.5703125" style="16" customWidth="1"/>
    <col min="14096" max="14096" width="34.85546875" style="16" customWidth="1"/>
    <col min="14097" max="14097" width="13.5703125" style="16" customWidth="1"/>
    <col min="14098" max="14098" width="9.42578125" style="16" customWidth="1"/>
    <col min="14099" max="14099" width="19" style="16" customWidth="1"/>
    <col min="14100" max="14100" width="22.7109375" style="16" customWidth="1"/>
    <col min="14101" max="14349" width="9.140625" style="16"/>
    <col min="14350" max="14350" width="7.5703125" style="16" customWidth="1"/>
    <col min="14351" max="14351" width="15.5703125" style="16" customWidth="1"/>
    <col min="14352" max="14352" width="34.85546875" style="16" customWidth="1"/>
    <col min="14353" max="14353" width="13.5703125" style="16" customWidth="1"/>
    <col min="14354" max="14354" width="9.42578125" style="16" customWidth="1"/>
    <col min="14355" max="14355" width="19" style="16" customWidth="1"/>
    <col min="14356" max="14356" width="22.7109375" style="16" customWidth="1"/>
    <col min="14357" max="14605" width="9.140625" style="16"/>
    <col min="14606" max="14606" width="7.5703125" style="16" customWidth="1"/>
    <col min="14607" max="14607" width="15.5703125" style="16" customWidth="1"/>
    <col min="14608" max="14608" width="34.85546875" style="16" customWidth="1"/>
    <col min="14609" max="14609" width="13.5703125" style="16" customWidth="1"/>
    <col min="14610" max="14610" width="9.42578125" style="16" customWidth="1"/>
    <col min="14611" max="14611" width="19" style="16" customWidth="1"/>
    <col min="14612" max="14612" width="22.7109375" style="16" customWidth="1"/>
    <col min="14613" max="14861" width="9.140625" style="16"/>
    <col min="14862" max="14862" width="7.5703125" style="16" customWidth="1"/>
    <col min="14863" max="14863" width="15.5703125" style="16" customWidth="1"/>
    <col min="14864" max="14864" width="34.85546875" style="16" customWidth="1"/>
    <col min="14865" max="14865" width="13.5703125" style="16" customWidth="1"/>
    <col min="14866" max="14866" width="9.42578125" style="16" customWidth="1"/>
    <col min="14867" max="14867" width="19" style="16" customWidth="1"/>
    <col min="14868" max="14868" width="22.7109375" style="16" customWidth="1"/>
    <col min="14869" max="15117" width="9.140625" style="16"/>
    <col min="15118" max="15118" width="7.5703125" style="16" customWidth="1"/>
    <col min="15119" max="15119" width="15.5703125" style="16" customWidth="1"/>
    <col min="15120" max="15120" width="34.85546875" style="16" customWidth="1"/>
    <col min="15121" max="15121" width="13.5703125" style="16" customWidth="1"/>
    <col min="15122" max="15122" width="9.42578125" style="16" customWidth="1"/>
    <col min="15123" max="15123" width="19" style="16" customWidth="1"/>
    <col min="15124" max="15124" width="22.7109375" style="16" customWidth="1"/>
    <col min="15125" max="15373" width="9.140625" style="16"/>
    <col min="15374" max="15374" width="7.5703125" style="16" customWidth="1"/>
    <col min="15375" max="15375" width="15.5703125" style="16" customWidth="1"/>
    <col min="15376" max="15376" width="34.85546875" style="16" customWidth="1"/>
    <col min="15377" max="15377" width="13.5703125" style="16" customWidth="1"/>
    <col min="15378" max="15378" width="9.42578125" style="16" customWidth="1"/>
    <col min="15379" max="15379" width="19" style="16" customWidth="1"/>
    <col min="15380" max="15380" width="22.7109375" style="16" customWidth="1"/>
    <col min="15381" max="15629" width="9.140625" style="16"/>
    <col min="15630" max="15630" width="7.5703125" style="16" customWidth="1"/>
    <col min="15631" max="15631" width="15.5703125" style="16" customWidth="1"/>
    <col min="15632" max="15632" width="34.85546875" style="16" customWidth="1"/>
    <col min="15633" max="15633" width="13.5703125" style="16" customWidth="1"/>
    <col min="15634" max="15634" width="9.42578125" style="16" customWidth="1"/>
    <col min="15635" max="15635" width="19" style="16" customWidth="1"/>
    <col min="15636" max="15636" width="22.7109375" style="16" customWidth="1"/>
    <col min="15637" max="15885" width="9.140625" style="16"/>
    <col min="15886" max="15886" width="7.5703125" style="16" customWidth="1"/>
    <col min="15887" max="15887" width="15.5703125" style="16" customWidth="1"/>
    <col min="15888" max="15888" width="34.85546875" style="16" customWidth="1"/>
    <col min="15889" max="15889" width="13.5703125" style="16" customWidth="1"/>
    <col min="15890" max="15890" width="9.42578125" style="16" customWidth="1"/>
    <col min="15891" max="15891" width="19" style="16" customWidth="1"/>
    <col min="15892" max="15892" width="22.7109375" style="16" customWidth="1"/>
    <col min="15893" max="16141" width="9.140625" style="16"/>
    <col min="16142" max="16142" width="7.5703125" style="16" customWidth="1"/>
    <col min="16143" max="16143" width="15.5703125" style="16" customWidth="1"/>
    <col min="16144" max="16144" width="34.85546875" style="16" customWidth="1"/>
    <col min="16145" max="16145" width="13.5703125" style="16" customWidth="1"/>
    <col min="16146" max="16146" width="9.42578125" style="16" customWidth="1"/>
    <col min="16147" max="16147" width="19" style="16" customWidth="1"/>
    <col min="16148" max="16148" width="22.7109375" style="16" customWidth="1"/>
    <col min="16149" max="16384" width="9.140625" style="16"/>
  </cols>
  <sheetData>
    <row r="1" spans="1:273" s="15" customFormat="1" ht="15.75" x14ac:dyDescent="0.25">
      <c r="A1" s="302" t="s">
        <v>212</v>
      </c>
      <c r="B1" s="302"/>
      <c r="C1" s="302"/>
      <c r="D1" s="302"/>
      <c r="E1" s="302"/>
      <c r="F1" s="302"/>
      <c r="G1" s="302"/>
      <c r="H1" s="302"/>
      <c r="I1" s="302"/>
      <c r="J1" s="302"/>
      <c r="K1" s="164"/>
      <c r="L1" s="242"/>
      <c r="M1" s="242"/>
      <c r="N1" s="242"/>
      <c r="O1" s="242"/>
      <c r="P1" s="242"/>
      <c r="Q1" s="242"/>
      <c r="R1" s="242"/>
      <c r="S1" s="211"/>
      <c r="T1" s="211"/>
      <c r="U1" s="211"/>
      <c r="V1" s="211"/>
      <c r="W1" s="211"/>
      <c r="X1" s="211"/>
      <c r="AB1" s="189"/>
      <c r="AC1" s="189"/>
      <c r="AD1" s="189"/>
    </row>
    <row r="2" spans="1:273" s="15" customFormat="1" ht="15.75" x14ac:dyDescent="0.25">
      <c r="A2" s="302" t="s">
        <v>213</v>
      </c>
      <c r="B2" s="302"/>
      <c r="C2" s="302"/>
      <c r="D2" s="302"/>
      <c r="E2" s="302"/>
      <c r="F2" s="302"/>
      <c r="G2" s="302"/>
      <c r="H2" s="302"/>
      <c r="I2" s="302"/>
      <c r="J2" s="302"/>
      <c r="K2" s="164"/>
      <c r="L2" s="242"/>
      <c r="M2" s="242"/>
      <c r="N2" s="242"/>
      <c r="O2" s="242"/>
      <c r="P2" s="242"/>
      <c r="Q2" s="242"/>
      <c r="R2" s="242"/>
      <c r="S2" s="211"/>
      <c r="T2" s="211"/>
      <c r="U2" s="211"/>
      <c r="V2" s="211"/>
      <c r="W2" s="211"/>
      <c r="X2" s="211"/>
      <c r="AB2" s="189"/>
      <c r="AC2" s="189"/>
      <c r="AD2" s="189"/>
    </row>
    <row r="3" spans="1:273" s="15" customFormat="1" ht="15.75" x14ac:dyDescent="0.25">
      <c r="A3" s="302" t="s">
        <v>215</v>
      </c>
      <c r="B3" s="302"/>
      <c r="C3" s="302"/>
      <c r="D3" s="302"/>
      <c r="E3" s="302"/>
      <c r="F3" s="302"/>
      <c r="G3" s="302"/>
      <c r="H3" s="302"/>
      <c r="I3" s="302"/>
      <c r="J3" s="302"/>
      <c r="K3" s="164"/>
      <c r="L3" s="242"/>
      <c r="M3" s="242"/>
      <c r="N3" s="242"/>
      <c r="O3" s="242"/>
      <c r="P3" s="242"/>
      <c r="Q3" s="242"/>
      <c r="R3" s="242"/>
      <c r="S3" s="211"/>
      <c r="T3" s="211"/>
      <c r="U3" s="211"/>
      <c r="V3" s="211"/>
      <c r="W3" s="211"/>
      <c r="X3" s="211"/>
      <c r="AB3" s="189"/>
      <c r="AC3" s="189"/>
      <c r="AD3" s="189"/>
    </row>
    <row r="4" spans="1:273" s="15" customFormat="1" ht="15.75" x14ac:dyDescent="0.25">
      <c r="A4" s="302" t="s">
        <v>214</v>
      </c>
      <c r="B4" s="302"/>
      <c r="C4" s="302"/>
      <c r="D4" s="302"/>
      <c r="E4" s="302"/>
      <c r="F4" s="302"/>
      <c r="G4" s="302"/>
      <c r="H4" s="302"/>
      <c r="I4" s="302"/>
      <c r="J4" s="302"/>
      <c r="K4" s="164"/>
      <c r="L4" s="242"/>
      <c r="M4" s="242"/>
      <c r="N4" s="242"/>
      <c r="O4" s="242"/>
      <c r="P4" s="242"/>
      <c r="Q4" s="242"/>
      <c r="R4" s="242"/>
      <c r="S4" s="211"/>
      <c r="T4" s="211"/>
      <c r="U4" s="211"/>
      <c r="V4" s="211"/>
      <c r="W4" s="211"/>
      <c r="X4" s="211"/>
      <c r="AB4" s="189"/>
      <c r="AC4" s="189"/>
      <c r="AD4" s="189"/>
    </row>
    <row r="5" spans="1:273" s="15" customFormat="1" ht="15.75" x14ac:dyDescent="0.25">
      <c r="A5" s="303" t="s">
        <v>323</v>
      </c>
      <c r="B5" s="303"/>
      <c r="C5" s="303"/>
      <c r="D5" s="303"/>
      <c r="E5" s="303"/>
      <c r="F5" s="303"/>
      <c r="G5" s="303"/>
      <c r="H5" s="303"/>
      <c r="I5" s="303"/>
      <c r="J5" s="303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AB5" s="189"/>
      <c r="AC5" s="189"/>
      <c r="AD5" s="189"/>
    </row>
    <row r="6" spans="1:273" ht="17.25" customHeight="1" x14ac:dyDescent="0.25">
      <c r="A6" s="304"/>
      <c r="B6" s="304"/>
      <c r="C6" s="304"/>
      <c r="D6" s="304"/>
      <c r="E6" s="304"/>
      <c r="F6" s="304"/>
      <c r="G6" s="304"/>
      <c r="H6" s="304"/>
      <c r="I6" s="304"/>
    </row>
    <row r="7" spans="1:273" s="5" customFormat="1" ht="17.25" customHeight="1" x14ac:dyDescent="0.25">
      <c r="A7" s="309" t="s">
        <v>276</v>
      </c>
      <c r="B7" s="309"/>
      <c r="C7" s="309"/>
      <c r="D7" s="309"/>
      <c r="E7" s="309"/>
      <c r="F7" s="309"/>
      <c r="G7" s="309"/>
      <c r="H7" s="309"/>
      <c r="I7" s="309"/>
      <c r="J7" s="309"/>
      <c r="K7" s="159"/>
      <c r="L7" s="243"/>
      <c r="M7" s="243"/>
      <c r="N7" s="243"/>
      <c r="O7" s="243"/>
      <c r="P7" s="243"/>
      <c r="Q7" s="243"/>
      <c r="R7" s="243"/>
      <c r="S7" s="212"/>
      <c r="T7" s="212"/>
      <c r="U7" s="212"/>
      <c r="V7" s="212"/>
      <c r="W7" s="212"/>
      <c r="X7" s="212"/>
      <c r="Y7" s="17"/>
      <c r="Z7" s="17"/>
      <c r="AA7" s="17"/>
      <c r="AB7" s="187"/>
      <c r="AC7" s="187"/>
      <c r="AD7" s="18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</row>
    <row r="8" spans="1:273" s="5" customFormat="1" ht="12.75" customHeight="1" x14ac:dyDescent="0.25">
      <c r="A8" s="150"/>
      <c r="B8" s="150"/>
      <c r="C8" s="150"/>
      <c r="D8" s="150"/>
      <c r="E8" s="150"/>
      <c r="F8" s="150"/>
      <c r="G8" s="150"/>
      <c r="H8" s="150"/>
      <c r="I8" s="150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87"/>
      <c r="AC8" s="187"/>
      <c r="AD8" s="18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</row>
    <row r="9" spans="1:273" s="5" customFormat="1" ht="15" customHeight="1" x14ac:dyDescent="0.25">
      <c r="A9" s="267" t="s">
        <v>277</v>
      </c>
      <c r="B9" s="267"/>
      <c r="C9" s="267"/>
      <c r="D9" s="267"/>
      <c r="E9" s="267"/>
      <c r="F9" s="267"/>
      <c r="G9" s="267"/>
      <c r="H9" s="267"/>
      <c r="I9" s="26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87"/>
      <c r="AC9" s="187"/>
      <c r="AD9" s="18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</row>
    <row r="10" spans="1:273" s="5" customFormat="1" ht="14.25" customHeight="1" x14ac:dyDescent="0.25">
      <c r="A10" s="268" t="s">
        <v>278</v>
      </c>
      <c r="B10" s="268"/>
      <c r="C10" s="268"/>
      <c r="D10" s="268"/>
      <c r="E10" s="268"/>
      <c r="F10" s="268"/>
      <c r="G10" s="268"/>
      <c r="H10" s="268"/>
      <c r="I10" s="268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87"/>
      <c r="AC10" s="187"/>
      <c r="AD10" s="18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</row>
    <row r="11" spans="1:273" s="5" customFormat="1" ht="12" customHeight="1" x14ac:dyDescent="0.25">
      <c r="A11" s="151"/>
      <c r="B11" s="151"/>
      <c r="C11" s="151"/>
      <c r="D11" s="151"/>
      <c r="E11" s="151"/>
      <c r="F11" s="151"/>
      <c r="G11" s="151"/>
      <c r="H11" s="151"/>
      <c r="I11" s="151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87"/>
      <c r="AC11" s="187"/>
      <c r="AD11" s="18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</row>
    <row r="12" spans="1:273" s="5" customFormat="1" ht="17.25" customHeight="1" x14ac:dyDescent="0.25">
      <c r="A12" s="151" t="s">
        <v>279</v>
      </c>
      <c r="B12" s="151"/>
      <c r="C12" s="151"/>
      <c r="D12" s="151"/>
      <c r="E12" s="151"/>
      <c r="F12" s="151"/>
      <c r="G12" s="151"/>
      <c r="H12" s="151"/>
      <c r="I12" s="151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87"/>
      <c r="AC12" s="187"/>
      <c r="AD12" s="18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</row>
    <row r="13" spans="1:273" s="5" customFormat="1" ht="12.75" customHeight="1" x14ac:dyDescent="0.25">
      <c r="A13" s="151"/>
      <c r="B13" s="151"/>
      <c r="C13" s="151"/>
      <c r="D13" s="151"/>
      <c r="E13" s="151"/>
      <c r="F13" s="151"/>
      <c r="G13" s="151"/>
      <c r="H13" s="151"/>
      <c r="I13" s="151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7"/>
      <c r="AC13" s="187"/>
      <c r="AD13" s="18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</row>
    <row r="14" spans="1:273" s="5" customFormat="1" ht="27" customHeight="1" x14ac:dyDescent="0.25">
      <c r="A14" s="310" t="s">
        <v>280</v>
      </c>
      <c r="B14" s="310"/>
      <c r="C14" s="310"/>
      <c r="D14" s="310"/>
      <c r="E14" s="310"/>
      <c r="F14" s="310"/>
      <c r="G14" s="310"/>
      <c r="H14" s="310"/>
      <c r="I14" s="310"/>
      <c r="J14" s="310"/>
      <c r="K14" s="160"/>
      <c r="L14" s="244"/>
      <c r="M14" s="244"/>
      <c r="N14" s="244"/>
      <c r="O14" s="244"/>
      <c r="P14" s="244"/>
      <c r="Q14" s="244"/>
      <c r="R14" s="244"/>
      <c r="S14" s="213"/>
      <c r="T14" s="213"/>
      <c r="U14" s="213"/>
      <c r="V14" s="213"/>
      <c r="W14" s="213"/>
      <c r="X14" s="213"/>
      <c r="Y14" s="17"/>
      <c r="Z14" s="17"/>
      <c r="AA14" s="17"/>
      <c r="AB14" s="187"/>
      <c r="AC14" s="187"/>
      <c r="AD14" s="18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</row>
    <row r="15" spans="1:273" s="5" customFormat="1" ht="17.25" customHeight="1" thickBot="1" x14ac:dyDescent="0.3">
      <c r="A15" s="306"/>
      <c r="B15" s="306"/>
      <c r="C15" s="306"/>
      <c r="D15" s="306"/>
      <c r="E15" s="306"/>
      <c r="F15" s="306"/>
      <c r="G15" s="306"/>
      <c r="H15" s="306"/>
      <c r="I15" s="306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87"/>
      <c r="AC15" s="187"/>
      <c r="AD15" s="18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</row>
    <row r="16" spans="1:273" s="5" customFormat="1" ht="13.5" customHeight="1" thickTop="1" thickBot="1" x14ac:dyDescent="0.3">
      <c r="A16" s="274" t="s">
        <v>144</v>
      </c>
      <c r="B16" s="275"/>
      <c r="C16" s="275"/>
      <c r="D16" s="275"/>
      <c r="E16" s="275"/>
      <c r="F16" s="275"/>
      <c r="G16" s="275"/>
      <c r="H16" s="275"/>
      <c r="I16" s="275"/>
      <c r="J16" s="276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8"/>
      <c r="Z16" s="18"/>
      <c r="AA16" s="18"/>
      <c r="AB16" s="190"/>
      <c r="AC16" s="190"/>
      <c r="AD16" s="190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9"/>
      <c r="JM16" s="19"/>
    </row>
    <row r="17" spans="1:273" s="5" customFormat="1" ht="13.5" customHeight="1" thickTop="1" thickBot="1" x14ac:dyDescent="0.3">
      <c r="A17" s="307" t="s">
        <v>145</v>
      </c>
      <c r="B17" s="308"/>
      <c r="C17" s="285" t="s">
        <v>146</v>
      </c>
      <c r="D17" s="286"/>
      <c r="E17" s="286"/>
      <c r="F17" s="286"/>
      <c r="G17" s="286"/>
      <c r="H17" s="286"/>
      <c r="I17" s="286"/>
      <c r="J17" s="286"/>
      <c r="K17" s="161"/>
      <c r="L17" s="241"/>
      <c r="M17" s="241"/>
      <c r="N17" s="241"/>
      <c r="O17" s="241"/>
      <c r="P17" s="241"/>
      <c r="Q17" s="241"/>
      <c r="R17" s="241"/>
      <c r="S17" s="215"/>
      <c r="T17" s="215"/>
      <c r="U17" s="215"/>
      <c r="V17" s="215"/>
      <c r="W17" s="215"/>
      <c r="X17" s="215"/>
      <c r="Y17" s="18"/>
      <c r="Z17" s="18"/>
      <c r="AA17" s="18"/>
      <c r="AB17" s="190"/>
      <c r="AC17" s="190"/>
      <c r="AD17" s="190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9"/>
      <c r="JM17" s="19"/>
    </row>
    <row r="18" spans="1:273" s="5" customFormat="1" ht="13.5" customHeight="1" thickTop="1" thickBot="1" x14ac:dyDescent="0.3">
      <c r="A18" s="269" t="s">
        <v>147</v>
      </c>
      <c r="B18" s="270"/>
      <c r="C18" s="305" t="s">
        <v>148</v>
      </c>
      <c r="D18" s="305"/>
      <c r="E18" s="305"/>
      <c r="F18" s="305" t="s">
        <v>149</v>
      </c>
      <c r="G18" s="305"/>
      <c r="H18" s="130"/>
      <c r="I18" s="269" t="s">
        <v>150</v>
      </c>
      <c r="J18" s="270"/>
      <c r="K18" s="161"/>
      <c r="L18" s="241"/>
      <c r="M18" s="241"/>
      <c r="N18" s="241"/>
      <c r="O18" s="241"/>
      <c r="P18" s="241"/>
      <c r="Q18" s="241"/>
      <c r="R18" s="241"/>
      <c r="S18" s="215"/>
      <c r="T18" s="215"/>
      <c r="U18" s="215"/>
      <c r="V18" s="215"/>
      <c r="W18" s="215"/>
      <c r="X18" s="215"/>
      <c r="Y18" s="18"/>
      <c r="Z18" s="18"/>
      <c r="AA18" s="18"/>
      <c r="AB18" s="190"/>
      <c r="AC18" s="190"/>
      <c r="AD18" s="190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9"/>
      <c r="JM18" s="19"/>
    </row>
    <row r="19" spans="1:273" s="5" customFormat="1" ht="13.5" customHeight="1" thickTop="1" thickBot="1" x14ac:dyDescent="0.3">
      <c r="A19" s="269" t="s">
        <v>151</v>
      </c>
      <c r="B19" s="270"/>
      <c r="C19" s="305" t="s">
        <v>152</v>
      </c>
      <c r="D19" s="305"/>
      <c r="E19" s="305"/>
      <c r="F19" s="305" t="s">
        <v>153</v>
      </c>
      <c r="G19" s="305"/>
      <c r="H19" s="130"/>
      <c r="I19" s="269" t="s">
        <v>154</v>
      </c>
      <c r="J19" s="270"/>
      <c r="K19" s="161"/>
      <c r="L19" s="241"/>
      <c r="M19" s="241"/>
      <c r="N19" s="241"/>
      <c r="O19" s="241"/>
      <c r="P19" s="241"/>
      <c r="Q19" s="241"/>
      <c r="R19" s="241"/>
      <c r="S19" s="215"/>
      <c r="T19" s="215"/>
      <c r="U19" s="215"/>
      <c r="V19" s="215"/>
      <c r="W19" s="215"/>
      <c r="X19" s="215"/>
      <c r="Y19" s="18"/>
      <c r="Z19" s="18"/>
      <c r="AA19" s="18"/>
      <c r="AB19" s="190"/>
      <c r="AC19" s="190"/>
      <c r="AD19" s="190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9"/>
      <c r="JM19" s="19"/>
    </row>
    <row r="20" spans="1:273" s="5" customFormat="1" ht="13.5" customHeight="1" thickTop="1" thickBot="1" x14ac:dyDescent="0.3">
      <c r="A20" s="269" t="s">
        <v>155</v>
      </c>
      <c r="B20" s="270"/>
      <c r="C20" s="305" t="s">
        <v>156</v>
      </c>
      <c r="D20" s="305"/>
      <c r="E20" s="305"/>
      <c r="F20" s="305" t="s">
        <v>157</v>
      </c>
      <c r="G20" s="305"/>
      <c r="H20" s="130"/>
      <c r="I20" s="269" t="s">
        <v>158</v>
      </c>
      <c r="J20" s="270"/>
      <c r="K20" s="161"/>
      <c r="L20" s="241"/>
      <c r="M20" s="241"/>
      <c r="N20" s="241"/>
      <c r="O20" s="241"/>
      <c r="P20" s="241"/>
      <c r="Q20" s="241"/>
      <c r="R20" s="241"/>
      <c r="S20" s="215"/>
      <c r="T20" s="215"/>
      <c r="U20" s="215"/>
      <c r="V20" s="215"/>
      <c r="W20" s="215"/>
      <c r="X20" s="215"/>
      <c r="Y20" s="18"/>
      <c r="Z20" s="18"/>
      <c r="AA20" s="18"/>
      <c r="AB20" s="190"/>
      <c r="AC20" s="190"/>
      <c r="AD20" s="190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9"/>
      <c r="JM20" s="19"/>
    </row>
    <row r="21" spans="1:273" s="5" customFormat="1" ht="13.5" customHeight="1" thickTop="1" thickBot="1" x14ac:dyDescent="0.3">
      <c r="A21" s="269" t="s">
        <v>159</v>
      </c>
      <c r="B21" s="270"/>
      <c r="C21" s="271" t="s">
        <v>160</v>
      </c>
      <c r="D21" s="272"/>
      <c r="E21" s="272"/>
      <c r="F21" s="272"/>
      <c r="G21" s="272"/>
      <c r="H21" s="272"/>
      <c r="I21" s="272"/>
      <c r="J21" s="273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8"/>
      <c r="Z21" s="18"/>
      <c r="AA21" s="18"/>
      <c r="AB21" s="190"/>
      <c r="AC21" s="190"/>
      <c r="AD21" s="190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9"/>
      <c r="JM21" s="19"/>
    </row>
    <row r="22" spans="1:273" s="5" customFormat="1" ht="13.5" customHeight="1" thickTop="1" x14ac:dyDescent="0.25">
      <c r="A22" s="299"/>
      <c r="B22" s="299"/>
      <c r="C22" s="277"/>
      <c r="D22" s="277"/>
      <c r="E22" s="277"/>
      <c r="F22" s="277"/>
      <c r="G22" s="277"/>
      <c r="H22" s="277"/>
      <c r="I22" s="277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91"/>
      <c r="AC22" s="191"/>
      <c r="AD22" s="191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9"/>
      <c r="JM22" s="19"/>
    </row>
    <row r="23" spans="1:273" s="5" customFormat="1" ht="13.5" hidden="1" customHeight="1" thickTop="1" thickBot="1" x14ac:dyDescent="0.3">
      <c r="A23" s="274" t="s">
        <v>161</v>
      </c>
      <c r="B23" s="275"/>
      <c r="C23" s="275"/>
      <c r="D23" s="275"/>
      <c r="E23" s="275"/>
      <c r="F23" s="275"/>
      <c r="G23" s="275"/>
      <c r="H23" s="275"/>
      <c r="I23" s="275"/>
      <c r="J23" s="276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8"/>
      <c r="Z23" s="18"/>
      <c r="AA23" s="18"/>
      <c r="AB23" s="190"/>
      <c r="AC23" s="190"/>
      <c r="AD23" s="190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9"/>
      <c r="JM23" s="19"/>
    </row>
    <row r="24" spans="1:273" s="5" customFormat="1" ht="13.5" hidden="1" customHeight="1" thickTop="1" thickBot="1" x14ac:dyDescent="0.3">
      <c r="A24" s="269" t="s">
        <v>162</v>
      </c>
      <c r="B24" s="270"/>
      <c r="C24" s="296" t="s">
        <v>163</v>
      </c>
      <c r="D24" s="296"/>
      <c r="E24" s="296"/>
      <c r="F24" s="296"/>
      <c r="G24" s="296"/>
      <c r="H24" s="296"/>
      <c r="I24" s="296"/>
      <c r="J24" s="270"/>
      <c r="K24" s="161"/>
      <c r="L24" s="241"/>
      <c r="M24" s="241"/>
      <c r="N24" s="241"/>
      <c r="O24" s="241"/>
      <c r="P24" s="241"/>
      <c r="Q24" s="241"/>
      <c r="R24" s="241"/>
      <c r="S24" s="215"/>
      <c r="T24" s="215"/>
      <c r="U24" s="215"/>
      <c r="V24" s="215"/>
      <c r="W24" s="215"/>
      <c r="X24" s="215"/>
      <c r="Y24" s="18"/>
      <c r="Z24" s="18"/>
      <c r="AA24" s="18"/>
      <c r="AB24" s="190"/>
      <c r="AC24" s="190"/>
      <c r="AD24" s="190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9"/>
      <c r="JM24" s="19"/>
    </row>
    <row r="25" spans="1:273" s="5" customFormat="1" ht="13.5" hidden="1" customHeight="1" thickTop="1" thickBot="1" x14ac:dyDescent="0.3">
      <c r="A25" s="269" t="s">
        <v>164</v>
      </c>
      <c r="B25" s="270"/>
      <c r="C25" s="296" t="s">
        <v>165</v>
      </c>
      <c r="D25" s="296"/>
      <c r="E25" s="296"/>
      <c r="F25" s="296" t="s">
        <v>149</v>
      </c>
      <c r="G25" s="296"/>
      <c r="H25" s="133"/>
      <c r="I25" s="269" t="s">
        <v>166</v>
      </c>
      <c r="J25" s="270"/>
      <c r="K25" s="161"/>
      <c r="L25" s="241"/>
      <c r="M25" s="241"/>
      <c r="N25" s="241"/>
      <c r="O25" s="241"/>
      <c r="P25" s="241"/>
      <c r="Q25" s="241"/>
      <c r="R25" s="241"/>
      <c r="S25" s="215"/>
      <c r="T25" s="215"/>
      <c r="U25" s="215"/>
      <c r="V25" s="215"/>
      <c r="W25" s="215"/>
      <c r="X25" s="215"/>
      <c r="Y25" s="18"/>
      <c r="Z25" s="18"/>
      <c r="AA25" s="18"/>
      <c r="AB25" s="190"/>
      <c r="AC25" s="190"/>
      <c r="AD25" s="190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9"/>
      <c r="JM25" s="19"/>
    </row>
    <row r="26" spans="1:273" s="5" customFormat="1" ht="13.5" hidden="1" customHeight="1" thickTop="1" thickBot="1" x14ac:dyDescent="0.3">
      <c r="A26" s="269" t="s">
        <v>167</v>
      </c>
      <c r="B26" s="270"/>
      <c r="C26" s="301">
        <v>2000002011949</v>
      </c>
      <c r="D26" s="301"/>
      <c r="E26" s="301"/>
      <c r="F26" s="296" t="s">
        <v>153</v>
      </c>
      <c r="G26" s="296"/>
      <c r="H26" s="133"/>
      <c r="I26" s="269" t="s">
        <v>168</v>
      </c>
      <c r="J26" s="270"/>
      <c r="K26" s="161"/>
      <c r="L26" s="241"/>
      <c r="M26" s="241"/>
      <c r="N26" s="241"/>
      <c r="O26" s="241"/>
      <c r="P26" s="241"/>
      <c r="Q26" s="241"/>
      <c r="R26" s="241"/>
      <c r="S26" s="215"/>
      <c r="T26" s="215"/>
      <c r="U26" s="215"/>
      <c r="V26" s="215"/>
      <c r="W26" s="215"/>
      <c r="X26" s="215"/>
      <c r="Y26" s="18"/>
      <c r="Z26" s="18"/>
      <c r="AA26" s="18"/>
      <c r="AB26" s="190"/>
      <c r="AC26" s="190"/>
      <c r="AD26" s="190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9"/>
      <c r="JM26" s="19"/>
    </row>
    <row r="27" spans="1:273" s="5" customFormat="1" ht="13.5" hidden="1" customHeight="1" thickTop="1" thickBot="1" x14ac:dyDescent="0.3">
      <c r="A27" s="269" t="s">
        <v>169</v>
      </c>
      <c r="B27" s="270"/>
      <c r="C27" s="296" t="s">
        <v>170</v>
      </c>
      <c r="D27" s="296"/>
      <c r="E27" s="296"/>
      <c r="F27" s="296" t="s">
        <v>171</v>
      </c>
      <c r="G27" s="296"/>
      <c r="H27" s="133"/>
      <c r="I27" s="269" t="s">
        <v>131</v>
      </c>
      <c r="J27" s="270"/>
      <c r="K27" s="161"/>
      <c r="L27" s="241"/>
      <c r="M27" s="241"/>
      <c r="N27" s="241"/>
      <c r="O27" s="241"/>
      <c r="P27" s="241"/>
      <c r="Q27" s="241"/>
      <c r="R27" s="241"/>
      <c r="S27" s="215"/>
      <c r="T27" s="215"/>
      <c r="U27" s="215"/>
      <c r="V27" s="215"/>
      <c r="W27" s="215"/>
      <c r="X27" s="215"/>
      <c r="Y27" s="18"/>
      <c r="Z27" s="18"/>
      <c r="AA27" s="18"/>
      <c r="AB27" s="190"/>
      <c r="AC27" s="190"/>
      <c r="AD27" s="190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9"/>
      <c r="JM27" s="19"/>
    </row>
    <row r="28" spans="1:273" s="5" customFormat="1" ht="13.5" hidden="1" customHeight="1" thickTop="1" thickBot="1" x14ac:dyDescent="0.3">
      <c r="A28" s="269" t="s">
        <v>172</v>
      </c>
      <c r="B28" s="270"/>
      <c r="C28" s="296" t="s">
        <v>173</v>
      </c>
      <c r="D28" s="296"/>
      <c r="E28" s="296"/>
      <c r="F28" s="296"/>
      <c r="G28" s="296"/>
      <c r="H28" s="296"/>
      <c r="I28" s="296"/>
      <c r="J28" s="270"/>
      <c r="K28" s="161"/>
      <c r="L28" s="241"/>
      <c r="M28" s="241"/>
      <c r="N28" s="241"/>
      <c r="O28" s="241"/>
      <c r="P28" s="241"/>
      <c r="Q28" s="241"/>
      <c r="R28" s="241"/>
      <c r="S28" s="215"/>
      <c r="T28" s="215"/>
      <c r="U28" s="215"/>
      <c r="V28" s="215"/>
      <c r="W28" s="215"/>
      <c r="X28" s="215"/>
      <c r="Y28" s="18"/>
      <c r="Z28" s="18"/>
      <c r="AA28" s="18"/>
      <c r="AB28" s="190"/>
      <c r="AC28" s="190"/>
      <c r="AD28" s="190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9"/>
      <c r="JM28" s="19"/>
    </row>
    <row r="29" spans="1:273" s="5" customFormat="1" ht="13.5" hidden="1" customHeight="1" thickTop="1" thickBot="1" x14ac:dyDescent="0.3">
      <c r="A29" s="269" t="s">
        <v>151</v>
      </c>
      <c r="B29" s="270"/>
      <c r="C29" s="301" t="s">
        <v>174</v>
      </c>
      <c r="D29" s="301"/>
      <c r="E29" s="301"/>
      <c r="F29" s="296" t="s">
        <v>153</v>
      </c>
      <c r="G29" s="296"/>
      <c r="H29" s="133"/>
      <c r="I29" s="269" t="s">
        <v>154</v>
      </c>
      <c r="J29" s="270"/>
      <c r="K29" s="161"/>
      <c r="L29" s="241"/>
      <c r="M29" s="241"/>
      <c r="N29" s="241"/>
      <c r="O29" s="241"/>
      <c r="P29" s="241"/>
      <c r="Q29" s="241"/>
      <c r="R29" s="241"/>
      <c r="S29" s="215"/>
      <c r="T29" s="215"/>
      <c r="U29" s="215"/>
      <c r="V29" s="215"/>
      <c r="W29" s="215"/>
      <c r="X29" s="215"/>
      <c r="Y29" s="18"/>
      <c r="Z29" s="18"/>
      <c r="AA29" s="18"/>
      <c r="AB29" s="190"/>
      <c r="AC29" s="190"/>
      <c r="AD29" s="190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9"/>
      <c r="JM29" s="19"/>
    </row>
    <row r="30" spans="1:273" s="5" customFormat="1" ht="13.5" hidden="1" customHeight="1" thickTop="1" thickBot="1" x14ac:dyDescent="0.3">
      <c r="A30" s="269" t="s">
        <v>155</v>
      </c>
      <c r="B30" s="270"/>
      <c r="C30" s="301" t="s">
        <v>175</v>
      </c>
      <c r="D30" s="301"/>
      <c r="E30" s="301"/>
      <c r="F30" s="296" t="s">
        <v>157</v>
      </c>
      <c r="G30" s="300"/>
      <c r="H30" s="153"/>
      <c r="I30" s="269" t="s">
        <v>176</v>
      </c>
      <c r="J30" s="270"/>
      <c r="K30" s="161"/>
      <c r="L30" s="241"/>
      <c r="M30" s="241"/>
      <c r="N30" s="241"/>
      <c r="O30" s="241"/>
      <c r="P30" s="241"/>
      <c r="Q30" s="241"/>
      <c r="R30" s="241"/>
      <c r="S30" s="215"/>
      <c r="T30" s="215"/>
      <c r="U30" s="215"/>
      <c r="V30" s="215"/>
      <c r="W30" s="215"/>
      <c r="X30" s="215"/>
      <c r="Y30" s="18"/>
      <c r="Z30" s="18"/>
      <c r="AA30" s="18"/>
      <c r="AB30" s="190"/>
      <c r="AC30" s="190"/>
      <c r="AD30" s="190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9"/>
      <c r="JM30" s="19"/>
    </row>
    <row r="31" spans="1:273" s="5" customFormat="1" ht="13.5" hidden="1" customHeight="1" thickTop="1" thickBot="1" x14ac:dyDescent="0.3">
      <c r="A31" s="269" t="s">
        <v>159</v>
      </c>
      <c r="B31" s="270"/>
      <c r="C31" s="272" t="s">
        <v>160</v>
      </c>
      <c r="D31" s="272"/>
      <c r="E31" s="272"/>
      <c r="F31" s="272"/>
      <c r="G31" s="272"/>
      <c r="H31" s="272"/>
      <c r="I31" s="272"/>
      <c r="J31" s="273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8"/>
      <c r="Z31" s="18"/>
      <c r="AA31" s="18"/>
      <c r="AB31" s="190"/>
      <c r="AC31" s="190"/>
      <c r="AD31" s="190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9"/>
      <c r="JM31" s="19"/>
    </row>
    <row r="32" spans="1:273" s="5" customFormat="1" ht="13.5" hidden="1" customHeight="1" x14ac:dyDescent="0.25">
      <c r="A32" s="277"/>
      <c r="B32" s="277"/>
      <c r="C32" s="277"/>
      <c r="D32" s="277"/>
      <c r="E32" s="277"/>
      <c r="F32" s="277"/>
      <c r="G32" s="277"/>
      <c r="H32" s="277"/>
      <c r="I32" s="277"/>
      <c r="J32" s="277"/>
      <c r="K32" s="163"/>
      <c r="L32" s="240"/>
      <c r="M32" s="240"/>
      <c r="N32" s="240"/>
      <c r="O32" s="240"/>
      <c r="P32" s="240"/>
      <c r="Q32" s="240"/>
      <c r="R32" s="240"/>
      <c r="S32" s="214"/>
      <c r="T32" s="214"/>
      <c r="U32" s="214"/>
      <c r="V32" s="214"/>
      <c r="W32" s="214"/>
      <c r="X32" s="214"/>
      <c r="Y32" s="18"/>
      <c r="Z32" s="18"/>
      <c r="AA32" s="18"/>
      <c r="AB32" s="190"/>
      <c r="AC32" s="190"/>
      <c r="AD32" s="190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9"/>
      <c r="JM32" s="19"/>
    </row>
    <row r="33" spans="1:30" s="5" customFormat="1" ht="12.75" customHeight="1" thickBot="1" x14ac:dyDescent="0.3">
      <c r="A33" s="284"/>
      <c r="B33" s="284"/>
      <c r="C33" s="284"/>
      <c r="D33" s="284"/>
      <c r="E33" s="284"/>
      <c r="F33" s="284"/>
      <c r="G33" s="284"/>
      <c r="H33" s="284"/>
      <c r="I33" s="284"/>
      <c r="AB33" s="192"/>
      <c r="AC33" s="192"/>
      <c r="AD33" s="192"/>
    </row>
    <row r="34" spans="1:30" s="11" customFormat="1" ht="13.5" customHeight="1" thickTop="1" thickBot="1" x14ac:dyDescent="0.3">
      <c r="A34" s="290" t="s">
        <v>187</v>
      </c>
      <c r="B34" s="291"/>
      <c r="C34" s="291"/>
      <c r="D34" s="291"/>
      <c r="E34" s="291"/>
      <c r="F34" s="291"/>
      <c r="G34" s="291"/>
      <c r="H34" s="291"/>
      <c r="I34" s="291"/>
      <c r="J34" s="292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AB34" s="193"/>
      <c r="AC34" s="193"/>
      <c r="AD34" s="193"/>
    </row>
    <row r="35" spans="1:30" s="11" customFormat="1" ht="71.25" customHeight="1" thickTop="1" thickBot="1" x14ac:dyDescent="0.3">
      <c r="A35" s="287" t="s">
        <v>249</v>
      </c>
      <c r="B35" s="288"/>
      <c r="C35" s="288"/>
      <c r="D35" s="288"/>
      <c r="E35" s="288"/>
      <c r="F35" s="288"/>
      <c r="G35" s="288"/>
      <c r="H35" s="288"/>
      <c r="I35" s="288"/>
      <c r="J35" s="289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AB35" s="193"/>
      <c r="AC35" s="193"/>
      <c r="AD35" s="193"/>
    </row>
    <row r="36" spans="1:30" s="1" customFormat="1" ht="16.5" thickTop="1" thickBot="1" x14ac:dyDescent="0.3">
      <c r="A36" s="297"/>
      <c r="B36" s="298"/>
      <c r="C36" s="298"/>
      <c r="D36" s="298"/>
      <c r="E36" s="298"/>
      <c r="F36" s="298"/>
      <c r="G36" s="298"/>
      <c r="H36" s="298"/>
      <c r="I36" s="298"/>
      <c r="J36" s="298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AB36" s="194"/>
      <c r="AC36" s="194"/>
      <c r="AD36" s="194"/>
    </row>
    <row r="37" spans="1:30" s="1" customFormat="1" ht="12.75" customHeight="1" thickTop="1" thickBot="1" x14ac:dyDescent="0.3">
      <c r="A37" s="315" t="s">
        <v>294</v>
      </c>
      <c r="B37" s="316"/>
      <c r="C37" s="316"/>
      <c r="D37" s="316"/>
      <c r="E37" s="316"/>
      <c r="F37" s="316"/>
      <c r="G37" s="316"/>
      <c r="H37" s="316"/>
      <c r="I37" s="316"/>
      <c r="J37" s="317"/>
      <c r="K37" s="171"/>
      <c r="L37" s="311" t="s">
        <v>344</v>
      </c>
      <c r="M37" s="311"/>
      <c r="N37" s="311"/>
      <c r="O37" s="245"/>
      <c r="P37" s="245"/>
      <c r="Q37" s="245"/>
      <c r="R37" s="245"/>
      <c r="S37" s="311" t="s">
        <v>330</v>
      </c>
      <c r="T37" s="311"/>
      <c r="U37" s="311"/>
      <c r="V37" s="171"/>
      <c r="W37" s="171"/>
      <c r="X37" s="171"/>
      <c r="AB37" s="194"/>
      <c r="AC37" s="194"/>
      <c r="AD37" s="194"/>
    </row>
    <row r="38" spans="1:30" s="1" customFormat="1" ht="33.75" customHeight="1" thickTop="1" thickBot="1" x14ac:dyDescent="0.3">
      <c r="A38" s="36" t="s">
        <v>136</v>
      </c>
      <c r="B38" s="278" t="s">
        <v>291</v>
      </c>
      <c r="C38" s="279"/>
      <c r="D38" s="280"/>
      <c r="E38" s="24" t="s">
        <v>292</v>
      </c>
      <c r="F38" s="25" t="s">
        <v>298</v>
      </c>
      <c r="G38" s="25" t="s">
        <v>141</v>
      </c>
      <c r="H38" s="26" t="s">
        <v>296</v>
      </c>
      <c r="I38" s="27" t="s">
        <v>342</v>
      </c>
      <c r="J38" s="27" t="s">
        <v>297</v>
      </c>
      <c r="K38" s="172"/>
      <c r="L38" s="228" t="s">
        <v>293</v>
      </c>
      <c r="M38" s="228" t="s">
        <v>297</v>
      </c>
      <c r="N38" s="228" t="s">
        <v>18</v>
      </c>
      <c r="O38" s="172"/>
      <c r="P38" s="172"/>
      <c r="Q38" s="172"/>
      <c r="R38" s="172"/>
      <c r="S38" s="228" t="s">
        <v>293</v>
      </c>
      <c r="T38" s="228" t="s">
        <v>297</v>
      </c>
      <c r="U38" s="228" t="s">
        <v>18</v>
      </c>
      <c r="V38" s="172"/>
      <c r="W38" s="172"/>
      <c r="X38" s="172"/>
      <c r="Y38" s="194" t="s">
        <v>320</v>
      </c>
      <c r="Z38" s="199" t="s">
        <v>321</v>
      </c>
      <c r="AB38" s="194" t="s">
        <v>317</v>
      </c>
      <c r="AC38" s="194" t="s">
        <v>318</v>
      </c>
      <c r="AD38" s="194" t="s">
        <v>319</v>
      </c>
    </row>
    <row r="39" spans="1:30" s="1" customFormat="1" ht="16.5" thickTop="1" thickBot="1" x14ac:dyDescent="0.3">
      <c r="A39" s="127" t="s">
        <v>200</v>
      </c>
      <c r="B39" s="281" t="s">
        <v>299</v>
      </c>
      <c r="C39" s="282"/>
      <c r="D39" s="283"/>
      <c r="E39" s="158" t="s">
        <v>254</v>
      </c>
      <c r="F39" s="154">
        <f>MARCEN!H18</f>
        <v>1</v>
      </c>
      <c r="G39" s="154" t="s">
        <v>295</v>
      </c>
      <c r="H39" s="158">
        <v>12</v>
      </c>
      <c r="I39" s="155">
        <f>MARCEN!I139</f>
        <v>3545.41</v>
      </c>
      <c r="J39" s="156">
        <f t="shared" ref="J39:J49" si="0">(H39*I39)</f>
        <v>42544.92</v>
      </c>
      <c r="K39" s="173"/>
      <c r="L39" s="229">
        <v>3557.01</v>
      </c>
      <c r="M39" s="230">
        <f>L39*12</f>
        <v>42684.12</v>
      </c>
      <c r="N39" s="231">
        <f>I39/L39-100%</f>
        <v>-3.2611659792917136E-3</v>
      </c>
      <c r="O39" s="173"/>
      <c r="P39" s="173"/>
      <c r="Q39" s="173"/>
      <c r="R39" s="173"/>
      <c r="S39" s="229">
        <v>3275.34</v>
      </c>
      <c r="T39" s="230">
        <f>S39*12</f>
        <v>39304.080000000002</v>
      </c>
      <c r="U39" s="231">
        <f>J39/T39-100%</f>
        <v>8.2455561865332871E-2</v>
      </c>
      <c r="V39" s="173"/>
      <c r="W39" s="173"/>
      <c r="X39" s="173"/>
      <c r="Y39" s="178">
        <f>SUM(MARCEN!I110:I111)</f>
        <v>91.405675875269282</v>
      </c>
      <c r="Z39" s="124">
        <f t="shared" ref="Z39:Z49" si="1">Y39*F39</f>
        <v>91.405675875269282</v>
      </c>
      <c r="AB39" s="196">
        <f>F39*2</f>
        <v>2</v>
      </c>
      <c r="AC39" s="196">
        <v>0</v>
      </c>
      <c r="AD39" s="196">
        <f>AB39-AC39</f>
        <v>2</v>
      </c>
    </row>
    <row r="40" spans="1:30" s="1" customFormat="1" ht="16.5" thickTop="1" thickBot="1" x14ac:dyDescent="0.3">
      <c r="A40" s="127" t="s">
        <v>201</v>
      </c>
      <c r="B40" s="257" t="s">
        <v>300</v>
      </c>
      <c r="C40" s="258"/>
      <c r="D40" s="259"/>
      <c r="E40" s="158" t="s">
        <v>256</v>
      </c>
      <c r="F40" s="154">
        <f>BOMB!H18</f>
        <v>1</v>
      </c>
      <c r="G40" s="154" t="s">
        <v>295</v>
      </c>
      <c r="H40" s="158">
        <v>12</v>
      </c>
      <c r="I40" s="155">
        <f>BOMB!I139</f>
        <v>3557.34</v>
      </c>
      <c r="J40" s="156">
        <f t="shared" si="0"/>
        <v>42688.08</v>
      </c>
      <c r="K40" s="173"/>
      <c r="L40" s="229">
        <v>3568.94</v>
      </c>
      <c r="M40" s="230">
        <f t="shared" ref="M40:M49" si="2">L40*12</f>
        <v>42827.28</v>
      </c>
      <c r="N40" s="231">
        <f t="shared" ref="N40:N49" si="3">I40/L40-100%</f>
        <v>-3.2502647845018551E-3</v>
      </c>
      <c r="O40" s="173"/>
      <c r="P40" s="173"/>
      <c r="Q40" s="173"/>
      <c r="R40" s="173"/>
      <c r="S40" s="229">
        <v>3287.12</v>
      </c>
      <c r="T40" s="230">
        <f t="shared" ref="T40:T49" si="4">S40*12</f>
        <v>39445.440000000002</v>
      </c>
      <c r="U40" s="231">
        <f t="shared" ref="U40:U49" si="5">J40/T40-100%</f>
        <v>8.2205699822336831E-2</v>
      </c>
      <c r="V40" s="173"/>
      <c r="W40" s="173"/>
      <c r="X40" s="173"/>
      <c r="Y40" s="178">
        <f>SUM(BOMB!I110:I111)</f>
        <v>91.71324495928269</v>
      </c>
      <c r="Z40" s="124">
        <f t="shared" si="1"/>
        <v>91.71324495928269</v>
      </c>
      <c r="AB40" s="196">
        <f>F40*2</f>
        <v>2</v>
      </c>
      <c r="AC40" s="196">
        <v>0</v>
      </c>
      <c r="AD40" s="196">
        <f t="shared" ref="AD40:AD49" si="6">AB40-AC40</f>
        <v>2</v>
      </c>
    </row>
    <row r="41" spans="1:30" s="1" customFormat="1" ht="16.5" thickTop="1" thickBot="1" x14ac:dyDescent="0.3">
      <c r="A41" s="127" t="s">
        <v>204</v>
      </c>
      <c r="B41" s="257" t="s">
        <v>301</v>
      </c>
      <c r="C41" s="258"/>
      <c r="D41" s="259"/>
      <c r="E41" s="158" t="s">
        <v>259</v>
      </c>
      <c r="F41" s="154">
        <f>ELET!H18</f>
        <v>2</v>
      </c>
      <c r="G41" s="154" t="s">
        <v>295</v>
      </c>
      <c r="H41" s="158">
        <v>12</v>
      </c>
      <c r="I41" s="155">
        <f>ELET!I139</f>
        <v>8051.82</v>
      </c>
      <c r="J41" s="156">
        <f t="shared" si="0"/>
        <v>96621.84</v>
      </c>
      <c r="K41" s="173"/>
      <c r="L41" s="229">
        <v>8078.12</v>
      </c>
      <c r="M41" s="230">
        <f t="shared" si="2"/>
        <v>96937.44</v>
      </c>
      <c r="N41" s="231">
        <f t="shared" si="3"/>
        <v>-3.2557080112699532E-3</v>
      </c>
      <c r="O41" s="173"/>
      <c r="P41" s="173"/>
      <c r="Q41" s="173"/>
      <c r="R41" s="173"/>
      <c r="S41" s="229">
        <v>3730.72</v>
      </c>
      <c r="T41" s="230">
        <f t="shared" si="4"/>
        <v>44768.639999999999</v>
      </c>
      <c r="U41" s="231">
        <f t="shared" si="5"/>
        <v>1.1582482737916542</v>
      </c>
      <c r="V41" s="173"/>
      <c r="W41" s="173"/>
      <c r="X41" s="173"/>
      <c r="Y41" s="178">
        <f>SUM(ELET!I110:I111)</f>
        <v>104.56294424489838</v>
      </c>
      <c r="Z41" s="124">
        <f t="shared" si="1"/>
        <v>209.12588848979675</v>
      </c>
      <c r="AB41" s="196">
        <f t="shared" ref="AB41:AB49" si="7">F41*2</f>
        <v>4</v>
      </c>
      <c r="AC41" s="196">
        <v>0</v>
      </c>
      <c r="AD41" s="196">
        <f t="shared" si="6"/>
        <v>4</v>
      </c>
    </row>
    <row r="42" spans="1:30" s="1" customFormat="1" ht="16.5" thickTop="1" thickBot="1" x14ac:dyDescent="0.3">
      <c r="A42" s="127" t="s">
        <v>205</v>
      </c>
      <c r="B42" s="257" t="s">
        <v>302</v>
      </c>
      <c r="C42" s="258"/>
      <c r="D42" s="259"/>
      <c r="E42" s="158" t="s">
        <v>260</v>
      </c>
      <c r="F42" s="154">
        <f>'TRAT ANI'!H18</f>
        <v>1</v>
      </c>
      <c r="G42" s="154" t="s">
        <v>295</v>
      </c>
      <c r="H42" s="158">
        <v>12</v>
      </c>
      <c r="I42" s="155">
        <f>'TRAT ANI'!I139</f>
        <v>3447.2</v>
      </c>
      <c r="J42" s="156">
        <f t="shared" si="0"/>
        <v>41366.399999999994</v>
      </c>
      <c r="K42" s="173"/>
      <c r="L42" s="229">
        <v>3458.43</v>
      </c>
      <c r="M42" s="230">
        <f t="shared" si="2"/>
        <v>41501.159999999996</v>
      </c>
      <c r="N42" s="231">
        <f t="shared" si="3"/>
        <v>-3.2471381522829468E-3</v>
      </c>
      <c r="O42" s="173"/>
      <c r="P42" s="173"/>
      <c r="Q42" s="173"/>
      <c r="R42" s="173"/>
      <c r="S42" s="229">
        <v>3182.83</v>
      </c>
      <c r="T42" s="230">
        <f t="shared" si="4"/>
        <v>38193.96</v>
      </c>
      <c r="U42" s="231">
        <f t="shared" si="5"/>
        <v>8.3061300792062198E-2</v>
      </c>
      <c r="V42" s="173"/>
      <c r="W42" s="173"/>
      <c r="X42" s="173"/>
      <c r="Y42" s="178">
        <f>SUM('TRAT ANI'!I110:I111)</f>
        <v>88.691067238534856</v>
      </c>
      <c r="Z42" s="124">
        <f t="shared" si="1"/>
        <v>88.691067238534856</v>
      </c>
      <c r="AB42" s="196">
        <f t="shared" si="7"/>
        <v>2</v>
      </c>
      <c r="AC42" s="196">
        <v>0</v>
      </c>
      <c r="AD42" s="196">
        <f t="shared" si="6"/>
        <v>2</v>
      </c>
    </row>
    <row r="43" spans="1:30" s="1" customFormat="1" ht="16.5" thickTop="1" thickBot="1" x14ac:dyDescent="0.3">
      <c r="A43" s="127" t="s">
        <v>217</v>
      </c>
      <c r="B43" s="257" t="s">
        <v>303</v>
      </c>
      <c r="C43" s="258"/>
      <c r="D43" s="259"/>
      <c r="E43" s="158" t="s">
        <v>263</v>
      </c>
      <c r="F43" s="154">
        <f>'OPER MICRO'!H18</f>
        <v>5</v>
      </c>
      <c r="G43" s="154" t="s">
        <v>295</v>
      </c>
      <c r="H43" s="158">
        <v>12</v>
      </c>
      <c r="I43" s="155">
        <f>'OPER MICRO'!I139</f>
        <v>19837.449999999997</v>
      </c>
      <c r="J43" s="156">
        <f t="shared" si="0"/>
        <v>238049.39999999997</v>
      </c>
      <c r="K43" s="173"/>
      <c r="L43" s="229">
        <v>19901.7</v>
      </c>
      <c r="M43" s="230">
        <f t="shared" si="2"/>
        <v>238820.40000000002</v>
      </c>
      <c r="N43" s="231">
        <f t="shared" si="3"/>
        <v>-3.2283674258984929E-3</v>
      </c>
      <c r="O43" s="173"/>
      <c r="P43" s="173"/>
      <c r="Q43" s="173"/>
      <c r="R43" s="173"/>
      <c r="S43" s="229">
        <v>18383.849999999999</v>
      </c>
      <c r="T43" s="230">
        <f t="shared" si="4"/>
        <v>220606.19999999998</v>
      </c>
      <c r="U43" s="231">
        <f t="shared" si="5"/>
        <v>7.9069400588016148E-2</v>
      </c>
      <c r="V43" s="173"/>
      <c r="W43" s="173"/>
      <c r="X43" s="173"/>
      <c r="Y43" s="178">
        <f>SUM('OPER MICRO'!I110:I111)</f>
        <v>103.11329009491567</v>
      </c>
      <c r="Z43" s="124">
        <f t="shared" si="1"/>
        <v>515.56645047457835</v>
      </c>
      <c r="AB43" s="196">
        <f t="shared" si="7"/>
        <v>10</v>
      </c>
      <c r="AC43" s="196">
        <v>5</v>
      </c>
      <c r="AD43" s="196">
        <f t="shared" si="6"/>
        <v>5</v>
      </c>
    </row>
    <row r="44" spans="1:30" s="1" customFormat="1" ht="16.5" thickTop="1" thickBot="1" x14ac:dyDescent="0.3">
      <c r="A44" s="127" t="s">
        <v>218</v>
      </c>
      <c r="B44" s="257" t="s">
        <v>304</v>
      </c>
      <c r="C44" s="258"/>
      <c r="D44" s="259"/>
      <c r="E44" s="158" t="s">
        <v>265</v>
      </c>
      <c r="F44" s="154">
        <f>'AGENT PORT'!H18</f>
        <v>2</v>
      </c>
      <c r="G44" s="154" t="s">
        <v>295</v>
      </c>
      <c r="H44" s="158">
        <v>12</v>
      </c>
      <c r="I44" s="155">
        <f>'AGENT PORT'!I139</f>
        <v>6957.9</v>
      </c>
      <c r="J44" s="156">
        <f t="shared" si="0"/>
        <v>83494.799999999988</v>
      </c>
      <c r="K44" s="173"/>
      <c r="L44" s="229">
        <v>6980.38</v>
      </c>
      <c r="M44" s="230">
        <f t="shared" si="2"/>
        <v>83764.56</v>
      </c>
      <c r="N44" s="231">
        <f t="shared" si="3"/>
        <v>-3.2204550468599713E-3</v>
      </c>
      <c r="O44" s="173"/>
      <c r="P44" s="173"/>
      <c r="Q44" s="173"/>
      <c r="R44" s="173"/>
      <c r="S44" s="229">
        <v>6428.34</v>
      </c>
      <c r="T44" s="230">
        <f t="shared" si="4"/>
        <v>77140.08</v>
      </c>
      <c r="U44" s="231">
        <f t="shared" si="5"/>
        <v>8.2378965642762925E-2</v>
      </c>
      <c r="V44" s="173"/>
      <c r="W44" s="173"/>
      <c r="X44" s="173"/>
      <c r="Y44" s="178">
        <f>SUM('AGENT PORT'!I110:I111)</f>
        <v>89.698489912446689</v>
      </c>
      <c r="Z44" s="124">
        <f t="shared" si="1"/>
        <v>179.39697982489338</v>
      </c>
      <c r="AB44" s="196">
        <f t="shared" si="7"/>
        <v>4</v>
      </c>
      <c r="AC44" s="196">
        <v>0</v>
      </c>
      <c r="AD44" s="196">
        <f t="shared" si="6"/>
        <v>4</v>
      </c>
    </row>
    <row r="45" spans="1:30" s="1" customFormat="1" ht="16.5" hidden="1" customHeight="1" thickTop="1" thickBot="1" x14ac:dyDescent="0.3">
      <c r="A45" s="127" t="s">
        <v>219</v>
      </c>
      <c r="B45" s="257" t="s">
        <v>305</v>
      </c>
      <c r="C45" s="258"/>
      <c r="D45" s="259"/>
      <c r="E45" s="158" t="s">
        <v>267</v>
      </c>
      <c r="F45" s="154">
        <f>ALMOX!H18</f>
        <v>0</v>
      </c>
      <c r="G45" s="154" t="s">
        <v>295</v>
      </c>
      <c r="H45" s="158">
        <v>0</v>
      </c>
      <c r="I45" s="155">
        <v>0</v>
      </c>
      <c r="J45" s="156">
        <f t="shared" si="0"/>
        <v>0</v>
      </c>
      <c r="K45" s="173"/>
      <c r="L45" s="229">
        <v>0</v>
      </c>
      <c r="M45" s="230">
        <f t="shared" si="2"/>
        <v>0</v>
      </c>
      <c r="N45" s="231" t="e">
        <f>I45/L45-100%</f>
        <v>#DIV/0!</v>
      </c>
      <c r="O45" s="173"/>
      <c r="P45" s="173"/>
      <c r="Q45" s="173"/>
      <c r="R45" s="173"/>
      <c r="S45" s="229">
        <v>0</v>
      </c>
      <c r="T45" s="230">
        <f t="shared" si="4"/>
        <v>0</v>
      </c>
      <c r="U45" s="231"/>
      <c r="V45" s="173"/>
      <c r="W45" s="173"/>
      <c r="X45" s="173"/>
      <c r="Y45" s="178">
        <f>SUM(ALMOX!I110:I111)</f>
        <v>92.725262116277747</v>
      </c>
      <c r="Z45" s="124">
        <f t="shared" si="1"/>
        <v>0</v>
      </c>
      <c r="AB45" s="196">
        <f t="shared" si="7"/>
        <v>0</v>
      </c>
      <c r="AC45" s="196">
        <v>2</v>
      </c>
      <c r="AD45" s="196">
        <f t="shared" si="6"/>
        <v>-2</v>
      </c>
    </row>
    <row r="46" spans="1:30" s="1" customFormat="1" ht="16.5" thickTop="1" thickBot="1" x14ac:dyDescent="0.3">
      <c r="A46" s="127" t="s">
        <v>220</v>
      </c>
      <c r="B46" s="257" t="s">
        <v>306</v>
      </c>
      <c r="C46" s="258"/>
      <c r="D46" s="259"/>
      <c r="E46" s="158" t="s">
        <v>269</v>
      </c>
      <c r="F46" s="154">
        <f>COPEIRO!H18</f>
        <v>2</v>
      </c>
      <c r="G46" s="154" t="s">
        <v>295</v>
      </c>
      <c r="H46" s="158">
        <v>12</v>
      </c>
      <c r="I46" s="155">
        <f>COPEIRO!I139</f>
        <v>6420.76</v>
      </c>
      <c r="J46" s="156">
        <f t="shared" si="0"/>
        <v>77049.119999999995</v>
      </c>
      <c r="K46" s="173"/>
      <c r="L46" s="229">
        <v>6441.68</v>
      </c>
      <c r="M46" s="230">
        <f t="shared" si="2"/>
        <v>77300.160000000003</v>
      </c>
      <c r="N46" s="231">
        <f t="shared" si="3"/>
        <v>-3.2476000049677101E-3</v>
      </c>
      <c r="O46" s="173"/>
      <c r="P46" s="173"/>
      <c r="Q46" s="173"/>
      <c r="R46" s="173"/>
      <c r="S46" s="229">
        <v>5866.06</v>
      </c>
      <c r="T46" s="230">
        <f t="shared" si="4"/>
        <v>70392.72</v>
      </c>
      <c r="U46" s="231">
        <f t="shared" si="5"/>
        <v>9.4560914821873565E-2</v>
      </c>
      <c r="V46" s="173"/>
      <c r="W46" s="173"/>
      <c r="X46" s="173"/>
      <c r="Y46" s="178">
        <f>SUM(COPEIRO!I110:I111)</f>
        <v>82.266812685738955</v>
      </c>
      <c r="Z46" s="124">
        <f t="shared" si="1"/>
        <v>164.53362537147791</v>
      </c>
      <c r="AB46" s="196">
        <f t="shared" si="7"/>
        <v>4</v>
      </c>
      <c r="AC46" s="196">
        <v>2</v>
      </c>
      <c r="AD46" s="196">
        <f t="shared" si="6"/>
        <v>2</v>
      </c>
    </row>
    <row r="47" spans="1:30" s="1" customFormat="1" ht="16.5" thickTop="1" thickBot="1" x14ac:dyDescent="0.3">
      <c r="A47" s="127" t="s">
        <v>221</v>
      </c>
      <c r="B47" s="257" t="s">
        <v>307</v>
      </c>
      <c r="C47" s="258"/>
      <c r="D47" s="259"/>
      <c r="E47" s="158" t="s">
        <v>271</v>
      </c>
      <c r="F47" s="154">
        <f>ATEND!H18</f>
        <v>1</v>
      </c>
      <c r="G47" s="154" t="s">
        <v>295</v>
      </c>
      <c r="H47" s="158">
        <v>12</v>
      </c>
      <c r="I47" s="155">
        <f>ATEND!I139</f>
        <v>3245.05</v>
      </c>
      <c r="J47" s="156">
        <f t="shared" si="0"/>
        <v>38940.600000000006</v>
      </c>
      <c r="K47" s="173"/>
      <c r="L47" s="229">
        <v>3255.51</v>
      </c>
      <c r="M47" s="230">
        <f t="shared" si="2"/>
        <v>39066.120000000003</v>
      </c>
      <c r="N47" s="231">
        <f t="shared" si="3"/>
        <v>-3.2130142435440323E-3</v>
      </c>
      <c r="O47" s="173"/>
      <c r="P47" s="173"/>
      <c r="Q47" s="173"/>
      <c r="R47" s="173"/>
      <c r="S47" s="229">
        <v>2992.69</v>
      </c>
      <c r="T47" s="230">
        <f t="shared" si="4"/>
        <v>35912.28</v>
      </c>
      <c r="U47" s="231">
        <f t="shared" si="5"/>
        <v>8.4325473069379209E-2</v>
      </c>
      <c r="V47" s="173"/>
      <c r="W47" s="173"/>
      <c r="X47" s="173"/>
      <c r="Y47" s="178">
        <f>SUM(ATEND!I110:I111)</f>
        <v>83.283337861222421</v>
      </c>
      <c r="Z47" s="124">
        <f t="shared" si="1"/>
        <v>83.283337861222421</v>
      </c>
      <c r="AB47" s="196">
        <f t="shared" si="7"/>
        <v>2</v>
      </c>
      <c r="AC47" s="196">
        <v>0</v>
      </c>
      <c r="AD47" s="196">
        <f t="shared" si="6"/>
        <v>2</v>
      </c>
    </row>
    <row r="48" spans="1:30" s="1" customFormat="1" ht="16.5" thickTop="1" thickBot="1" x14ac:dyDescent="0.3">
      <c r="A48" s="127" t="s">
        <v>222</v>
      </c>
      <c r="B48" s="257" t="s">
        <v>308</v>
      </c>
      <c r="C48" s="258"/>
      <c r="D48" s="259"/>
      <c r="E48" s="158" t="s">
        <v>273</v>
      </c>
      <c r="F48" s="154">
        <f>CONTINUO!H18</f>
        <v>3</v>
      </c>
      <c r="G48" s="154" t="s">
        <v>295</v>
      </c>
      <c r="H48" s="158">
        <v>12</v>
      </c>
      <c r="I48" s="155">
        <f>CONTINUO!I139</f>
        <v>9654.36</v>
      </c>
      <c r="J48" s="156">
        <f t="shared" si="0"/>
        <v>115852.32</v>
      </c>
      <c r="K48" s="173"/>
      <c r="L48" s="229">
        <v>9685.4699999999993</v>
      </c>
      <c r="M48" s="230">
        <f t="shared" si="2"/>
        <v>116225.63999999998</v>
      </c>
      <c r="N48" s="231">
        <f t="shared" si="3"/>
        <v>-3.2120279139782326E-3</v>
      </c>
      <c r="O48" s="173"/>
      <c r="P48" s="173"/>
      <c r="Q48" s="173"/>
      <c r="R48" s="173"/>
      <c r="S48" s="229">
        <v>8901.57</v>
      </c>
      <c r="T48" s="230">
        <f t="shared" si="4"/>
        <v>106818.84</v>
      </c>
      <c r="U48" s="231">
        <f t="shared" si="5"/>
        <v>8.4568227851940847E-2</v>
      </c>
      <c r="V48" s="173"/>
      <c r="W48" s="173"/>
      <c r="X48" s="173"/>
      <c r="Y48" s="178">
        <f>SUM(CONTINUO!I110:I111)</f>
        <v>82.534410386696095</v>
      </c>
      <c r="Z48" s="124">
        <f t="shared" si="1"/>
        <v>247.60323116008828</v>
      </c>
      <c r="AB48" s="196">
        <f t="shared" si="7"/>
        <v>6</v>
      </c>
      <c r="AC48" s="196">
        <v>0</v>
      </c>
      <c r="AD48" s="196">
        <f t="shared" si="6"/>
        <v>6</v>
      </c>
    </row>
    <row r="49" spans="1:30" s="1" customFormat="1" ht="16.5" thickTop="1" thickBot="1" x14ac:dyDescent="0.3">
      <c r="A49" s="127" t="s">
        <v>223</v>
      </c>
      <c r="B49" s="257" t="s">
        <v>309</v>
      </c>
      <c r="C49" s="258"/>
      <c r="D49" s="259"/>
      <c r="E49" s="157" t="s">
        <v>275</v>
      </c>
      <c r="F49" s="28">
        <f>RECEP!H18</f>
        <v>1</v>
      </c>
      <c r="G49" s="154" t="s">
        <v>295</v>
      </c>
      <c r="H49" s="158">
        <v>12</v>
      </c>
      <c r="I49" s="29">
        <f>RECEP!I139</f>
        <v>3589.08</v>
      </c>
      <c r="J49" s="156">
        <f t="shared" si="0"/>
        <v>43068.959999999999</v>
      </c>
      <c r="K49" s="173"/>
      <c r="L49" s="229">
        <v>3600.68</v>
      </c>
      <c r="M49" s="230">
        <f t="shared" si="2"/>
        <v>43208.159999999996</v>
      </c>
      <c r="N49" s="231">
        <f t="shared" si="3"/>
        <v>-3.2216136951909169E-3</v>
      </c>
      <c r="O49" s="173"/>
      <c r="P49" s="173"/>
      <c r="Q49" s="173"/>
      <c r="R49" s="173"/>
      <c r="S49" s="229">
        <v>3318.46</v>
      </c>
      <c r="T49" s="230">
        <f t="shared" si="4"/>
        <v>39821.520000000004</v>
      </c>
      <c r="U49" s="231">
        <f t="shared" si="5"/>
        <v>8.1549875544680184E-2</v>
      </c>
      <c r="V49" s="173"/>
      <c r="W49" s="173"/>
      <c r="X49" s="173"/>
      <c r="Y49" s="178">
        <f>SUM(RECEP!I110:I111)</f>
        <v>92.724737469341591</v>
      </c>
      <c r="Z49" s="188">
        <f t="shared" si="1"/>
        <v>92.724737469341591</v>
      </c>
      <c r="AB49" s="194">
        <f t="shared" si="7"/>
        <v>2</v>
      </c>
      <c r="AC49" s="194">
        <v>0</v>
      </c>
      <c r="AD49" s="194">
        <f t="shared" si="6"/>
        <v>2</v>
      </c>
    </row>
    <row r="50" spans="1:30" ht="12.75" customHeight="1" thickTop="1" thickBot="1" x14ac:dyDescent="0.3">
      <c r="A50" s="318" t="s">
        <v>133</v>
      </c>
      <c r="B50" s="319"/>
      <c r="C50" s="319"/>
      <c r="D50" s="319"/>
      <c r="E50" s="319"/>
      <c r="F50" s="319"/>
      <c r="G50" s="319"/>
      <c r="H50" s="320"/>
      <c r="I50" s="261">
        <f>SUM(I39:I49)</f>
        <v>68306.37000000001</v>
      </c>
      <c r="J50" s="262"/>
      <c r="K50" s="174"/>
      <c r="L50" s="232">
        <f>SUM(L39:L49)</f>
        <v>68527.92</v>
      </c>
      <c r="M50" s="232">
        <f>SUM(M39:M49)</f>
        <v>822335.04</v>
      </c>
      <c r="N50" s="251">
        <f>I50-L50</f>
        <v>-221.54999999998836</v>
      </c>
      <c r="O50" s="174"/>
      <c r="P50" s="174"/>
      <c r="Q50" s="174"/>
      <c r="R50" s="174"/>
      <c r="S50" s="232">
        <f>SUM(S39:S49)</f>
        <v>59366.979999999996</v>
      </c>
      <c r="T50" s="232">
        <f>SUM(T39:T49)</f>
        <v>712403.76</v>
      </c>
      <c r="U50" s="231"/>
      <c r="V50" s="174"/>
      <c r="W50" s="174"/>
      <c r="X50" s="174"/>
      <c r="Z50" s="123">
        <f>SUM(Z39:Z49)</f>
        <v>1764.0442387244857</v>
      </c>
      <c r="AB50" s="197">
        <f>SUM(AB39:AB49)</f>
        <v>38</v>
      </c>
      <c r="AC50" s="197">
        <f>SUM(AC39:AC49)</f>
        <v>9</v>
      </c>
      <c r="AD50" s="197">
        <f>SUM(AD39:AD49)</f>
        <v>29</v>
      </c>
    </row>
    <row r="51" spans="1:30" ht="12.75" customHeight="1" thickTop="1" thickBot="1" x14ac:dyDescent="0.3">
      <c r="A51" s="318" t="s">
        <v>193</v>
      </c>
      <c r="B51" s="319"/>
      <c r="C51" s="319"/>
      <c r="D51" s="319"/>
      <c r="E51" s="319"/>
      <c r="F51" s="319"/>
      <c r="G51" s="321"/>
      <c r="H51" s="322"/>
      <c r="I51" s="263">
        <f>I50*12</f>
        <v>819676.44000000018</v>
      </c>
      <c r="J51" s="264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23"/>
      <c r="Z51" s="124"/>
    </row>
    <row r="52" spans="1:30" s="22" customFormat="1" ht="13.5" customHeight="1" thickTop="1" thickBot="1" x14ac:dyDescent="0.3">
      <c r="A52" s="293" t="s">
        <v>345</v>
      </c>
      <c r="B52" s="294"/>
      <c r="C52" s="294"/>
      <c r="D52" s="294"/>
      <c r="E52" s="294"/>
      <c r="F52" s="294"/>
      <c r="G52" s="294"/>
      <c r="H52" s="294"/>
      <c r="I52" s="294"/>
      <c r="J52" s="295"/>
      <c r="K52" s="175"/>
      <c r="L52" s="175"/>
      <c r="M52" s="252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AB52" s="195"/>
      <c r="AC52" s="195"/>
      <c r="AD52" s="195"/>
    </row>
    <row r="53" spans="1:30" s="22" customFormat="1" ht="13.5" customHeight="1" thickTop="1" thickBot="1" x14ac:dyDescent="0.3">
      <c r="A53" s="293" t="s">
        <v>346</v>
      </c>
      <c r="B53" s="294"/>
      <c r="C53" s="294"/>
      <c r="D53" s="294"/>
      <c r="E53" s="294"/>
      <c r="F53" s="294"/>
      <c r="G53" s="294"/>
      <c r="H53" s="294"/>
      <c r="I53" s="294"/>
      <c r="J53" s="29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200">
        <f>I51/12</f>
        <v>68306.37000000001</v>
      </c>
      <c r="AB53" s="195"/>
      <c r="AC53" s="195"/>
      <c r="AD53" s="195"/>
    </row>
    <row r="54" spans="1:30" ht="13.5" customHeight="1" thickTop="1" x14ac:dyDescent="0.25">
      <c r="A54" s="314"/>
      <c r="B54" s="314"/>
      <c r="C54" s="314"/>
      <c r="D54" s="314"/>
      <c r="E54" s="314"/>
      <c r="F54" s="314"/>
      <c r="G54" s="314"/>
      <c r="H54" s="314"/>
      <c r="I54" s="314"/>
      <c r="Y54" s="123"/>
    </row>
    <row r="55" spans="1:30" ht="13.5" customHeight="1" x14ac:dyDescent="0.25">
      <c r="A55" s="313"/>
      <c r="B55" s="313"/>
      <c r="C55" s="313"/>
      <c r="D55" s="313"/>
      <c r="E55" s="313"/>
      <c r="F55" s="313"/>
      <c r="G55" s="313"/>
      <c r="H55" s="313"/>
      <c r="I55" s="313"/>
    </row>
    <row r="56" spans="1:30" ht="12" customHeight="1" x14ac:dyDescent="0.2">
      <c r="A56" s="6" t="s">
        <v>186</v>
      </c>
      <c r="B56" s="7"/>
      <c r="C56" s="7"/>
      <c r="D56" s="7"/>
      <c r="E56" s="7"/>
      <c r="F56" s="7"/>
      <c r="G56" s="7"/>
      <c r="H56" s="7"/>
      <c r="I56" s="8"/>
    </row>
    <row r="57" spans="1:30" ht="13.5" customHeight="1" x14ac:dyDescent="0.2">
      <c r="A57" s="9" t="s">
        <v>331</v>
      </c>
      <c r="B57" s="9"/>
      <c r="C57" s="9"/>
      <c r="D57" s="9"/>
      <c r="E57" s="9"/>
      <c r="F57" s="9"/>
      <c r="G57" s="9"/>
      <c r="H57" s="9"/>
      <c r="I57" s="10"/>
    </row>
    <row r="58" spans="1:30" ht="13.5" customHeight="1" x14ac:dyDescent="0.2">
      <c r="A58" s="17"/>
      <c r="B58" s="9"/>
      <c r="C58" s="9"/>
      <c r="D58" s="9"/>
      <c r="E58" s="9"/>
      <c r="F58" s="9"/>
      <c r="G58" s="9"/>
      <c r="H58" s="9"/>
      <c r="I58" s="10"/>
    </row>
    <row r="59" spans="1:30" ht="12.75" customHeight="1" x14ac:dyDescent="0.25">
      <c r="A59" s="260" t="s">
        <v>210</v>
      </c>
      <c r="B59" s="260"/>
      <c r="C59" s="260"/>
      <c r="D59" s="260"/>
      <c r="E59" s="260"/>
      <c r="F59" s="260"/>
      <c r="G59" s="260"/>
      <c r="H59" s="260"/>
      <c r="I59" s="260"/>
    </row>
    <row r="60" spans="1:30" ht="12.75" customHeight="1" x14ac:dyDescent="0.25">
      <c r="A60" s="131"/>
      <c r="B60" s="131"/>
      <c r="C60" s="131"/>
      <c r="D60" s="131"/>
      <c r="E60" s="131"/>
      <c r="F60" s="131"/>
      <c r="G60" s="131"/>
      <c r="H60" s="131"/>
      <c r="I60" s="131"/>
    </row>
    <row r="61" spans="1:30" ht="12.75" customHeight="1" x14ac:dyDescent="0.25">
      <c r="A61" s="312" t="s">
        <v>192</v>
      </c>
      <c r="B61" s="312"/>
      <c r="C61" s="312"/>
      <c r="D61" s="312"/>
      <c r="E61" s="312"/>
      <c r="F61" s="312"/>
      <c r="G61" s="312"/>
      <c r="H61" s="312"/>
      <c r="I61" s="312"/>
    </row>
    <row r="62" spans="1:30" ht="12.75" customHeight="1" x14ac:dyDescent="0.25">
      <c r="A62" s="135"/>
      <c r="B62" s="135"/>
      <c r="C62" s="135"/>
      <c r="D62" s="135"/>
      <c r="E62" s="135"/>
      <c r="F62" s="135"/>
      <c r="G62" s="135"/>
      <c r="H62" s="135"/>
      <c r="I62" s="135"/>
    </row>
    <row r="63" spans="1:30" ht="39" hidden="1" customHeight="1" x14ac:dyDescent="0.25">
      <c r="A63" s="265" t="s">
        <v>135</v>
      </c>
      <c r="B63" s="265"/>
      <c r="C63" s="265"/>
      <c r="D63" s="265"/>
      <c r="E63" s="265"/>
      <c r="F63" s="265"/>
      <c r="G63" s="265"/>
      <c r="H63" s="265"/>
      <c r="I63" s="265"/>
      <c r="J63" s="265"/>
      <c r="K63" s="162"/>
      <c r="L63" s="239"/>
      <c r="M63" s="239"/>
      <c r="N63" s="239"/>
      <c r="O63" s="239"/>
      <c r="P63" s="239"/>
      <c r="Q63" s="239"/>
      <c r="R63" s="239"/>
      <c r="S63" s="216"/>
      <c r="T63" s="216"/>
      <c r="U63" s="216"/>
      <c r="V63" s="216"/>
      <c r="W63" s="216"/>
      <c r="X63" s="216"/>
    </row>
    <row r="64" spans="1:30" ht="11.25" hidden="1" customHeight="1" x14ac:dyDescent="0.25">
      <c r="A64" s="132"/>
      <c r="B64" s="132"/>
      <c r="C64" s="132"/>
      <c r="D64" s="132"/>
      <c r="E64" s="132"/>
      <c r="F64" s="132"/>
      <c r="G64" s="132"/>
      <c r="H64" s="132"/>
      <c r="I64" s="132"/>
    </row>
    <row r="65" spans="1:24" ht="36.75" hidden="1" customHeight="1" x14ac:dyDescent="0.25">
      <c r="A65" s="265" t="s">
        <v>281</v>
      </c>
      <c r="B65" s="265"/>
      <c r="C65" s="265"/>
      <c r="D65" s="265"/>
      <c r="E65" s="265"/>
      <c r="F65" s="265"/>
      <c r="G65" s="265"/>
      <c r="H65" s="265"/>
      <c r="I65" s="265"/>
      <c r="J65" s="265"/>
      <c r="K65" s="162"/>
      <c r="L65" s="239"/>
      <c r="M65" s="239"/>
      <c r="N65" s="239"/>
      <c r="O65" s="239"/>
      <c r="P65" s="239"/>
      <c r="Q65" s="239"/>
      <c r="R65" s="239"/>
      <c r="S65" s="216"/>
      <c r="T65" s="216"/>
      <c r="U65" s="216"/>
      <c r="V65" s="216"/>
      <c r="W65" s="216"/>
      <c r="X65" s="216"/>
    </row>
    <row r="66" spans="1:24" ht="12.75" hidden="1" customHeight="1" x14ac:dyDescent="0.25">
      <c r="A66" s="132"/>
      <c r="B66" s="132"/>
      <c r="C66" s="132"/>
      <c r="D66" s="132"/>
      <c r="E66" s="132"/>
      <c r="F66" s="132"/>
      <c r="G66" s="132"/>
      <c r="H66" s="132"/>
      <c r="I66" s="132"/>
    </row>
    <row r="67" spans="1:24" ht="37.5" hidden="1" customHeight="1" x14ac:dyDescent="0.25">
      <c r="A67" s="265" t="s">
        <v>282</v>
      </c>
      <c r="B67" s="265"/>
      <c r="C67" s="265"/>
      <c r="D67" s="265"/>
      <c r="E67" s="265"/>
      <c r="F67" s="265"/>
      <c r="G67" s="265"/>
      <c r="H67" s="265"/>
      <c r="I67" s="265"/>
      <c r="J67" s="265"/>
      <c r="K67" s="162"/>
      <c r="L67" s="239"/>
      <c r="M67" s="239"/>
      <c r="N67" s="239"/>
      <c r="O67" s="239"/>
      <c r="P67" s="239"/>
      <c r="Q67" s="239"/>
      <c r="R67" s="239"/>
      <c r="S67" s="216"/>
      <c r="T67" s="216"/>
      <c r="U67" s="216"/>
      <c r="V67" s="216"/>
      <c r="W67" s="216"/>
      <c r="X67" s="216"/>
    </row>
    <row r="68" spans="1:24" ht="12.75" hidden="1" customHeight="1" x14ac:dyDescent="0.25">
      <c r="A68" s="132"/>
      <c r="B68" s="132"/>
      <c r="C68" s="132"/>
      <c r="D68" s="132"/>
      <c r="E68" s="132"/>
      <c r="F68" s="132"/>
      <c r="G68" s="132"/>
      <c r="H68" s="132"/>
      <c r="I68" s="132"/>
    </row>
    <row r="69" spans="1:24" ht="27" hidden="1" customHeight="1" x14ac:dyDescent="0.25">
      <c r="A69" s="265" t="s">
        <v>283</v>
      </c>
      <c r="B69" s="265"/>
      <c r="C69" s="265"/>
      <c r="D69" s="265"/>
      <c r="E69" s="265"/>
      <c r="F69" s="265"/>
      <c r="G69" s="265"/>
      <c r="H69" s="265"/>
      <c r="I69" s="265"/>
      <c r="J69" s="265"/>
      <c r="K69" s="162"/>
      <c r="L69" s="239"/>
      <c r="M69" s="239"/>
      <c r="N69" s="239"/>
      <c r="O69" s="239"/>
      <c r="P69" s="239"/>
      <c r="Q69" s="239"/>
      <c r="R69" s="239"/>
      <c r="S69" s="216"/>
      <c r="T69" s="216"/>
      <c r="U69" s="216"/>
      <c r="V69" s="216"/>
      <c r="W69" s="216"/>
      <c r="X69" s="216"/>
    </row>
    <row r="70" spans="1:24" ht="12.75" hidden="1" customHeight="1" x14ac:dyDescent="0.25">
      <c r="A70" s="132"/>
      <c r="B70" s="132"/>
      <c r="C70" s="132"/>
      <c r="D70" s="132"/>
      <c r="E70" s="132"/>
      <c r="F70" s="132"/>
      <c r="G70" s="132"/>
      <c r="H70" s="132"/>
      <c r="I70" s="132"/>
    </row>
    <row r="71" spans="1:24" ht="12.75" hidden="1" customHeight="1" x14ac:dyDescent="0.25">
      <c r="A71" s="260" t="s">
        <v>284</v>
      </c>
      <c r="B71" s="260"/>
      <c r="C71" s="260"/>
      <c r="D71" s="260"/>
      <c r="E71" s="260"/>
      <c r="F71" s="260"/>
      <c r="G71" s="260"/>
      <c r="H71" s="260"/>
      <c r="I71" s="260"/>
    </row>
    <row r="72" spans="1:24" ht="9" hidden="1" customHeight="1" x14ac:dyDescent="0.25">
      <c r="A72" s="132"/>
      <c r="B72" s="132"/>
      <c r="C72" s="132"/>
      <c r="D72" s="132"/>
      <c r="E72" s="132"/>
      <c r="F72" s="132"/>
      <c r="G72" s="132"/>
      <c r="H72" s="132"/>
      <c r="I72" s="132"/>
    </row>
    <row r="73" spans="1:24" ht="38.25" hidden="1" customHeight="1" x14ac:dyDescent="0.25">
      <c r="A73" s="265" t="s">
        <v>285</v>
      </c>
      <c r="B73" s="265"/>
      <c r="C73" s="265"/>
      <c r="D73" s="265"/>
      <c r="E73" s="265"/>
      <c r="F73" s="265"/>
      <c r="G73" s="265"/>
      <c r="H73" s="265"/>
      <c r="I73" s="265"/>
      <c r="J73" s="265"/>
      <c r="K73" s="162"/>
      <c r="L73" s="239"/>
      <c r="M73" s="239"/>
      <c r="N73" s="239"/>
      <c r="O73" s="239"/>
      <c r="P73" s="239"/>
      <c r="Q73" s="239"/>
      <c r="R73" s="239"/>
      <c r="S73" s="216"/>
      <c r="T73" s="216"/>
      <c r="U73" s="216"/>
      <c r="V73" s="216"/>
      <c r="W73" s="216"/>
      <c r="X73" s="216"/>
    </row>
    <row r="74" spans="1:24" ht="11.25" hidden="1" customHeight="1" x14ac:dyDescent="0.25">
      <c r="A74" s="132"/>
      <c r="B74" s="132"/>
      <c r="C74" s="132"/>
      <c r="D74" s="132"/>
      <c r="E74" s="132"/>
      <c r="F74" s="132"/>
      <c r="G74" s="132"/>
      <c r="H74" s="132"/>
      <c r="I74" s="132"/>
    </row>
    <row r="75" spans="1:24" ht="24.75" hidden="1" customHeight="1" x14ac:dyDescent="0.25">
      <c r="A75" s="265" t="s">
        <v>286</v>
      </c>
      <c r="B75" s="265"/>
      <c r="C75" s="265"/>
      <c r="D75" s="265"/>
      <c r="E75" s="265"/>
      <c r="F75" s="265"/>
      <c r="G75" s="265"/>
      <c r="H75" s="265"/>
      <c r="I75" s="265"/>
      <c r="J75" s="265"/>
      <c r="K75" s="162"/>
      <c r="L75" s="239"/>
      <c r="M75" s="239"/>
      <c r="N75" s="239"/>
      <c r="O75" s="239"/>
      <c r="P75" s="239"/>
      <c r="Q75" s="239"/>
      <c r="R75" s="239"/>
      <c r="S75" s="216"/>
      <c r="T75" s="216"/>
      <c r="U75" s="216"/>
      <c r="V75" s="216"/>
      <c r="W75" s="216"/>
      <c r="X75" s="216"/>
    </row>
    <row r="76" spans="1:24" ht="9.75" hidden="1" customHeight="1" x14ac:dyDescent="0.25">
      <c r="A76" s="131"/>
      <c r="B76" s="131"/>
      <c r="C76" s="131"/>
      <c r="D76" s="131"/>
      <c r="E76" s="131"/>
      <c r="F76" s="131"/>
      <c r="G76" s="131"/>
      <c r="H76" s="131"/>
      <c r="I76" s="131"/>
    </row>
    <row r="77" spans="1:24" ht="12.75" hidden="1" customHeight="1" x14ac:dyDescent="0.25">
      <c r="A77" s="260" t="s">
        <v>287</v>
      </c>
      <c r="B77" s="260"/>
      <c r="C77" s="260"/>
      <c r="D77" s="260"/>
      <c r="E77" s="260"/>
      <c r="F77" s="260"/>
      <c r="G77" s="260"/>
      <c r="H77" s="260"/>
      <c r="I77" s="260"/>
    </row>
    <row r="78" spans="1:24" ht="8.25" hidden="1" customHeight="1" x14ac:dyDescent="0.25">
      <c r="A78" s="131"/>
      <c r="B78" s="131"/>
      <c r="C78" s="131"/>
      <c r="D78" s="131"/>
      <c r="E78" s="131"/>
      <c r="F78" s="131"/>
      <c r="G78" s="131"/>
      <c r="H78" s="131"/>
      <c r="I78" s="131"/>
    </row>
    <row r="79" spans="1:24" ht="12.75" hidden="1" customHeight="1" x14ac:dyDescent="0.25">
      <c r="A79" s="260" t="s">
        <v>288</v>
      </c>
      <c r="B79" s="260"/>
      <c r="C79" s="260"/>
      <c r="D79" s="260"/>
      <c r="E79" s="260"/>
      <c r="F79" s="260"/>
      <c r="G79" s="260"/>
      <c r="H79" s="260"/>
      <c r="I79" s="260"/>
    </row>
    <row r="80" spans="1:24" ht="12.75" hidden="1" customHeight="1" x14ac:dyDescent="0.25">
      <c r="A80" s="131"/>
      <c r="B80" s="131"/>
      <c r="C80" s="131"/>
      <c r="D80" s="131"/>
      <c r="E80" s="131"/>
      <c r="F80" s="131"/>
      <c r="G80" s="131"/>
      <c r="H80" s="131"/>
      <c r="I80" s="131"/>
    </row>
    <row r="81" spans="1:24" ht="42" hidden="1" customHeight="1" x14ac:dyDescent="0.25">
      <c r="A81" s="265" t="s">
        <v>289</v>
      </c>
      <c r="B81" s="265"/>
      <c r="C81" s="265"/>
      <c r="D81" s="265"/>
      <c r="E81" s="265"/>
      <c r="F81" s="265"/>
      <c r="G81" s="265"/>
      <c r="H81" s="265"/>
      <c r="I81" s="265"/>
      <c r="J81" s="265"/>
      <c r="K81" s="162"/>
      <c r="L81" s="239"/>
      <c r="M81" s="239"/>
      <c r="N81" s="239"/>
      <c r="O81" s="239"/>
      <c r="P81" s="239"/>
      <c r="Q81" s="239"/>
      <c r="R81" s="239"/>
      <c r="S81" s="216"/>
      <c r="T81" s="216"/>
      <c r="U81" s="216"/>
      <c r="V81" s="216"/>
      <c r="W81" s="216"/>
      <c r="X81" s="216"/>
    </row>
    <row r="82" spans="1:24" ht="15" hidden="1" customHeight="1" x14ac:dyDescent="0.25">
      <c r="A82" s="132"/>
      <c r="B82" s="132"/>
      <c r="C82" s="132"/>
      <c r="D82" s="132"/>
      <c r="E82" s="132"/>
      <c r="F82" s="132"/>
      <c r="G82" s="132"/>
      <c r="H82" s="132"/>
      <c r="I82" s="132"/>
    </row>
    <row r="83" spans="1:24" ht="26.25" hidden="1" customHeight="1" x14ac:dyDescent="0.25">
      <c r="A83" s="265" t="s">
        <v>290</v>
      </c>
      <c r="B83" s="265"/>
      <c r="C83" s="265"/>
      <c r="D83" s="265"/>
      <c r="E83" s="265"/>
      <c r="F83" s="265"/>
      <c r="G83" s="265"/>
      <c r="H83" s="265"/>
      <c r="I83" s="265"/>
      <c r="J83" s="265"/>
      <c r="K83" s="162"/>
      <c r="L83" s="239"/>
      <c r="M83" s="239"/>
      <c r="N83" s="239"/>
      <c r="O83" s="239"/>
      <c r="P83" s="239"/>
      <c r="Q83" s="239"/>
      <c r="R83" s="239"/>
      <c r="S83" s="216"/>
      <c r="T83" s="216"/>
      <c r="U83" s="216"/>
      <c r="V83" s="216"/>
      <c r="W83" s="216"/>
      <c r="X83" s="216"/>
    </row>
    <row r="84" spans="1:24" ht="10.5" hidden="1" customHeight="1" x14ac:dyDescent="0.25">
      <c r="A84" s="152"/>
      <c r="B84" s="152"/>
      <c r="C84" s="152"/>
      <c r="D84" s="152"/>
      <c r="E84" s="152"/>
      <c r="F84" s="152"/>
      <c r="G84" s="152"/>
      <c r="H84" s="152"/>
      <c r="I84" s="152"/>
    </row>
    <row r="85" spans="1:24" ht="13.5" hidden="1" customHeight="1" x14ac:dyDescent="0.25">
      <c r="A85" s="260" t="s">
        <v>211</v>
      </c>
      <c r="B85" s="260"/>
      <c r="C85" s="260"/>
      <c r="D85" s="260"/>
      <c r="E85" s="260"/>
      <c r="F85" s="260"/>
      <c r="G85" s="260"/>
      <c r="H85" s="260"/>
      <c r="I85" s="260"/>
    </row>
    <row r="86" spans="1:24" ht="12" hidden="1" customHeight="1" thickBot="1" x14ac:dyDescent="0.3">
      <c r="A86" s="131"/>
      <c r="B86" s="131"/>
      <c r="C86" s="131"/>
      <c r="D86" s="131"/>
      <c r="E86" s="131"/>
      <c r="F86" s="131"/>
      <c r="G86" s="131"/>
      <c r="H86" s="131"/>
      <c r="I86" s="131"/>
    </row>
    <row r="87" spans="1:24" ht="13.5" hidden="1" customHeight="1" thickTop="1" thickBot="1" x14ac:dyDescent="0.3">
      <c r="A87" s="274" t="s">
        <v>177</v>
      </c>
      <c r="B87" s="275"/>
      <c r="C87" s="275"/>
      <c r="D87" s="275"/>
      <c r="E87" s="275"/>
      <c r="F87" s="275"/>
      <c r="G87" s="275"/>
      <c r="H87" s="275"/>
      <c r="I87" s="275"/>
      <c r="J87" s="276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</row>
    <row r="88" spans="1:24" ht="13.5" hidden="1" customHeight="1" thickTop="1" thickBot="1" x14ac:dyDescent="0.3">
      <c r="A88" s="253" t="s">
        <v>178</v>
      </c>
      <c r="B88" s="254"/>
      <c r="C88" s="253" t="s">
        <v>179</v>
      </c>
      <c r="D88" s="266"/>
      <c r="E88" s="266"/>
      <c r="F88" s="254"/>
      <c r="G88" s="253" t="s">
        <v>180</v>
      </c>
      <c r="H88" s="254"/>
      <c r="I88" s="255">
        <v>237</v>
      </c>
      <c r="J88" s="25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</row>
    <row r="89" spans="1:24" ht="13.5" hidden="1" customHeight="1" thickTop="1" thickBot="1" x14ac:dyDescent="0.3">
      <c r="A89" s="255" t="s">
        <v>181</v>
      </c>
      <c r="B89" s="256"/>
      <c r="C89" s="20" t="s">
        <v>182</v>
      </c>
      <c r="D89" s="40" t="s">
        <v>183</v>
      </c>
      <c r="E89" s="20" t="s">
        <v>184</v>
      </c>
      <c r="F89" s="40" t="s">
        <v>183</v>
      </c>
      <c r="G89" s="255" t="s">
        <v>185</v>
      </c>
      <c r="H89" s="256"/>
      <c r="I89" s="255" t="s">
        <v>154</v>
      </c>
      <c r="J89" s="256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6"/>
      <c r="X89" s="176"/>
    </row>
    <row r="90" spans="1:24" ht="13.5" customHeight="1" x14ac:dyDescent="0.25">
      <c r="A90" s="176"/>
      <c r="B90" s="176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</row>
    <row r="91" spans="1:24" ht="13.5" customHeight="1" x14ac:dyDescent="0.25">
      <c r="D91" s="43" t="s">
        <v>343</v>
      </c>
      <c r="I91" s="43"/>
    </row>
    <row r="92" spans="1:24" ht="13.5" customHeight="1" x14ac:dyDescent="0.25">
      <c r="A92" s="134"/>
      <c r="B92" s="43"/>
      <c r="D92" s="42"/>
    </row>
    <row r="93" spans="1:24" ht="13.5" customHeight="1" x14ac:dyDescent="0.25">
      <c r="D93"/>
      <c r="E93" s="43"/>
      <c r="F93" s="43"/>
    </row>
    <row r="94" spans="1:24" ht="13.5" customHeight="1" x14ac:dyDescent="0.2">
      <c r="D94" s="13" t="s">
        <v>188</v>
      </c>
      <c r="E94" s="23"/>
      <c r="F94" s="23"/>
    </row>
    <row r="95" spans="1:24" ht="13.5" customHeight="1" x14ac:dyDescent="0.2">
      <c r="D95" s="14" t="s">
        <v>189</v>
      </c>
      <c r="E95" s="41"/>
      <c r="F95" s="41"/>
    </row>
    <row r="96" spans="1:24" ht="13.5" customHeight="1" x14ac:dyDescent="0.2">
      <c r="D96" s="13" t="s">
        <v>190</v>
      </c>
      <c r="E96" s="41"/>
      <c r="F96" s="41"/>
    </row>
    <row r="97" spans="4:6" ht="13.5" customHeight="1" x14ac:dyDescent="0.2">
      <c r="D97" s="13" t="s">
        <v>191</v>
      </c>
      <c r="E97" s="23"/>
      <c r="F97" s="23"/>
    </row>
    <row r="98" spans="4:6" ht="13.5" customHeight="1" x14ac:dyDescent="0.2">
      <c r="D98" s="14" t="s">
        <v>173</v>
      </c>
    </row>
    <row r="99" spans="4:6" ht="13.5" customHeight="1" x14ac:dyDescent="0.25"/>
    <row r="100" spans="4:6" ht="13.5" customHeight="1" x14ac:dyDescent="0.25"/>
    <row r="101" spans="4:6" ht="13.5" customHeight="1" x14ac:dyDescent="0.25"/>
  </sheetData>
  <sheetProtection formatCells="0" formatColumns="0" formatRows="0" insertColumns="0" insertRows="0" insertHyperlinks="0" deleteColumns="0" deleteRows="0" sort="0" autoFilter="0" pivotTables="0"/>
  <mergeCells count="106">
    <mergeCell ref="S37:U37"/>
    <mergeCell ref="C30:E30"/>
    <mergeCell ref="A61:I61"/>
    <mergeCell ref="A59:I59"/>
    <mergeCell ref="A55:I55"/>
    <mergeCell ref="A54:I54"/>
    <mergeCell ref="A52:J52"/>
    <mergeCell ref="A37:J37"/>
    <mergeCell ref="A50:H50"/>
    <mergeCell ref="A51:H51"/>
    <mergeCell ref="L37:N37"/>
    <mergeCell ref="A1:J1"/>
    <mergeCell ref="A2:J2"/>
    <mergeCell ref="A3:J3"/>
    <mergeCell ref="A4:J4"/>
    <mergeCell ref="A5:J5"/>
    <mergeCell ref="F26:G26"/>
    <mergeCell ref="F27:G27"/>
    <mergeCell ref="C27:E27"/>
    <mergeCell ref="C26:E26"/>
    <mergeCell ref="C25:E25"/>
    <mergeCell ref="F25:G25"/>
    <mergeCell ref="A6:I6"/>
    <mergeCell ref="F18:G18"/>
    <mergeCell ref="F19:G19"/>
    <mergeCell ref="F20:G20"/>
    <mergeCell ref="C18:E18"/>
    <mergeCell ref="C19:E19"/>
    <mergeCell ref="C20:E20"/>
    <mergeCell ref="A15:I15"/>
    <mergeCell ref="A17:B17"/>
    <mergeCell ref="A7:J7"/>
    <mergeCell ref="A14:J14"/>
    <mergeCell ref="A25:B25"/>
    <mergeCell ref="A26:B26"/>
    <mergeCell ref="I18:J18"/>
    <mergeCell ref="A35:J35"/>
    <mergeCell ref="A34:J34"/>
    <mergeCell ref="A53:J53"/>
    <mergeCell ref="A18:B18"/>
    <mergeCell ref="A19:B19"/>
    <mergeCell ref="A20:B20"/>
    <mergeCell ref="C24:J24"/>
    <mergeCell ref="I25:J25"/>
    <mergeCell ref="I26:J26"/>
    <mergeCell ref="I27:J27"/>
    <mergeCell ref="C28:J28"/>
    <mergeCell ref="A31:B31"/>
    <mergeCell ref="A36:J36"/>
    <mergeCell ref="A27:B27"/>
    <mergeCell ref="A28:B28"/>
    <mergeCell ref="A21:B21"/>
    <mergeCell ref="A22:I22"/>
    <mergeCell ref="A24:B24"/>
    <mergeCell ref="A29:B29"/>
    <mergeCell ref="A30:B30"/>
    <mergeCell ref="F29:G29"/>
    <mergeCell ref="F30:G30"/>
    <mergeCell ref="C29:E29"/>
    <mergeCell ref="A9:I9"/>
    <mergeCell ref="A10:I10"/>
    <mergeCell ref="I19:J19"/>
    <mergeCell ref="I20:J20"/>
    <mergeCell ref="C21:J21"/>
    <mergeCell ref="A23:J23"/>
    <mergeCell ref="A32:J32"/>
    <mergeCell ref="A87:J87"/>
    <mergeCell ref="B43:D43"/>
    <mergeCell ref="B44:D44"/>
    <mergeCell ref="B45:D45"/>
    <mergeCell ref="B46:D46"/>
    <mergeCell ref="B47:D47"/>
    <mergeCell ref="B38:D38"/>
    <mergeCell ref="B39:D39"/>
    <mergeCell ref="B40:D40"/>
    <mergeCell ref="B41:D41"/>
    <mergeCell ref="B42:D42"/>
    <mergeCell ref="A33:I33"/>
    <mergeCell ref="I29:J29"/>
    <mergeCell ref="I30:J30"/>
    <mergeCell ref="C31:J31"/>
    <mergeCell ref="A16:J16"/>
    <mergeCell ref="C17:J17"/>
    <mergeCell ref="G88:H88"/>
    <mergeCell ref="G89:H89"/>
    <mergeCell ref="I88:J88"/>
    <mergeCell ref="I89:J89"/>
    <mergeCell ref="B48:D48"/>
    <mergeCell ref="B49:D49"/>
    <mergeCell ref="A79:I79"/>
    <mergeCell ref="I50:J50"/>
    <mergeCell ref="I51:J51"/>
    <mergeCell ref="A71:I71"/>
    <mergeCell ref="A77:I77"/>
    <mergeCell ref="A69:J69"/>
    <mergeCell ref="A73:J73"/>
    <mergeCell ref="A75:J75"/>
    <mergeCell ref="A88:B88"/>
    <mergeCell ref="C88:F88"/>
    <mergeCell ref="A89:B89"/>
    <mergeCell ref="A85:I85"/>
    <mergeCell ref="A63:J63"/>
    <mergeCell ref="A65:J65"/>
    <mergeCell ref="A67:J67"/>
    <mergeCell ref="A81:J81"/>
    <mergeCell ref="A83:J83"/>
  </mergeCells>
  <hyperlinks>
    <hyperlink ref="C21" r:id="rId1"/>
    <hyperlink ref="C31" r:id="rId2"/>
  </hyperlinks>
  <pageMargins left="0.39370078740157483" right="0.19685039370078741" top="0.82677165354330717" bottom="0.6692913385826772" header="0.11811023622047245" footer="0.11811023622047245"/>
  <pageSetup paperSize="9" scale="75" orientation="portrait" r:id="rId3"/>
  <headerFooter alignWithMargins="0">
    <oddHeader>&amp;R&amp;G</oddHeader>
    <oddFooter>&amp;L&amp;G</oddFooter>
  </headerFooter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141"/>
  <sheetViews>
    <sheetView view="pageBreakPreview" topLeftCell="D7" zoomScaleNormal="100" zoomScaleSheetLayoutView="100" workbookViewId="0">
      <selection activeCell="G95" sqref="G95"/>
    </sheetView>
  </sheetViews>
  <sheetFormatPr defaultRowHeight="15" x14ac:dyDescent="0.25"/>
  <cols>
    <col min="1" max="1" width="5.5703125" style="1" customWidth="1"/>
    <col min="2" max="3" width="19.42578125" style="1" customWidth="1"/>
    <col min="4" max="4" width="16.42578125" style="1" customWidth="1"/>
    <col min="5" max="5" width="12.42578125" style="1" customWidth="1"/>
    <col min="6" max="6" width="9.140625" style="1" customWidth="1"/>
    <col min="7" max="7" width="7.5703125" style="1" customWidth="1"/>
    <col min="8" max="8" width="12" style="1" customWidth="1"/>
    <col min="9" max="9" width="20.7109375" style="1" customWidth="1"/>
    <col min="10" max="10" width="2.5703125" style="1" customWidth="1"/>
    <col min="11" max="11" width="13" style="3" customWidth="1"/>
    <col min="12" max="12" width="12.5703125" style="3" customWidth="1"/>
    <col min="13" max="13" width="10.28515625" style="3" customWidth="1"/>
    <col min="14" max="16" width="8.7109375" style="3" customWidth="1"/>
    <col min="17" max="1025" width="8.7109375" style="1" customWidth="1"/>
    <col min="1026" max="16384" width="9.140625" style="1"/>
  </cols>
  <sheetData>
    <row r="1" spans="1:10" ht="15.75" x14ac:dyDescent="0.25">
      <c r="A1" s="302" t="s">
        <v>212</v>
      </c>
      <c r="B1" s="302"/>
      <c r="C1" s="302"/>
      <c r="D1" s="302"/>
      <c r="E1" s="302"/>
      <c r="F1" s="302"/>
      <c r="G1" s="302"/>
      <c r="H1" s="302"/>
      <c r="I1" s="302"/>
      <c r="J1" s="126"/>
    </row>
    <row r="2" spans="1:10" ht="15.75" x14ac:dyDescent="0.25">
      <c r="A2" s="302" t="s">
        <v>213</v>
      </c>
      <c r="B2" s="302"/>
      <c r="C2" s="302"/>
      <c r="D2" s="302"/>
      <c r="E2" s="302"/>
      <c r="F2" s="302"/>
      <c r="G2" s="302"/>
      <c r="H2" s="302"/>
      <c r="I2" s="302"/>
      <c r="J2" s="126"/>
    </row>
    <row r="3" spans="1:10" ht="15.75" x14ac:dyDescent="0.25">
      <c r="A3" s="302" t="s">
        <v>215</v>
      </c>
      <c r="B3" s="302"/>
      <c r="C3" s="302"/>
      <c r="D3" s="302"/>
      <c r="E3" s="302"/>
      <c r="F3" s="302"/>
      <c r="G3" s="302"/>
      <c r="H3" s="302"/>
      <c r="I3" s="302"/>
      <c r="J3" s="126"/>
    </row>
    <row r="4" spans="1:10" ht="15.75" x14ac:dyDescent="0.25">
      <c r="A4" s="302" t="s">
        <v>214</v>
      </c>
      <c r="B4" s="302"/>
      <c r="C4" s="302"/>
      <c r="D4" s="302"/>
      <c r="E4" s="302"/>
      <c r="F4" s="302"/>
      <c r="G4" s="302"/>
      <c r="H4" s="302"/>
      <c r="I4" s="302"/>
      <c r="J4" s="126"/>
    </row>
    <row r="5" spans="1:10" ht="15.75" x14ac:dyDescent="0.25">
      <c r="A5" s="396" t="s">
        <v>323</v>
      </c>
      <c r="B5" s="396"/>
      <c r="C5" s="396"/>
      <c r="D5" s="396"/>
      <c r="E5" s="396"/>
      <c r="F5" s="396"/>
      <c r="G5" s="396"/>
      <c r="H5" s="396"/>
      <c r="I5" s="396"/>
      <c r="J5" s="126"/>
    </row>
    <row r="6" spans="1:10" x14ac:dyDescent="0.25">
      <c r="A6" s="385"/>
      <c r="B6" s="385"/>
      <c r="C6" s="385"/>
      <c r="D6" s="385"/>
      <c r="E6" s="385"/>
      <c r="F6" s="385"/>
      <c r="G6" s="385"/>
      <c r="H6" s="385"/>
      <c r="I6" s="385"/>
      <c r="J6" s="139"/>
    </row>
    <row r="7" spans="1:10" ht="18.75" x14ac:dyDescent="0.25">
      <c r="A7" s="390" t="s">
        <v>0</v>
      </c>
      <c r="B7" s="390"/>
      <c r="C7" s="390"/>
      <c r="D7" s="390"/>
      <c r="E7" s="390"/>
      <c r="F7" s="390"/>
      <c r="G7" s="390"/>
      <c r="H7" s="390"/>
      <c r="I7" s="390"/>
      <c r="J7" s="140"/>
    </row>
    <row r="8" spans="1:10" x14ac:dyDescent="0.25">
      <c r="A8" s="385"/>
      <c r="B8" s="385"/>
      <c r="C8" s="385"/>
      <c r="D8" s="385"/>
      <c r="E8" s="385"/>
      <c r="F8" s="385"/>
      <c r="G8" s="385"/>
      <c r="H8" s="385"/>
      <c r="I8" s="385"/>
      <c r="J8" s="139"/>
    </row>
    <row r="9" spans="1:10" x14ac:dyDescent="0.25">
      <c r="A9" s="391" t="s">
        <v>270</v>
      </c>
      <c r="B9" s="391"/>
      <c r="C9" s="391"/>
      <c r="D9" s="391"/>
      <c r="E9" s="391"/>
      <c r="F9" s="391"/>
      <c r="G9" s="391"/>
      <c r="H9" s="391"/>
      <c r="I9" s="391"/>
      <c r="J9" s="37"/>
    </row>
    <row r="10" spans="1:10" ht="21.75" customHeight="1" thickBot="1" x14ac:dyDescent="0.3">
      <c r="A10" s="392" t="s">
        <v>0</v>
      </c>
      <c r="B10" s="392"/>
      <c r="C10" s="392"/>
      <c r="D10" s="392"/>
      <c r="E10" s="392"/>
      <c r="F10" s="392"/>
      <c r="G10" s="392"/>
      <c r="H10" s="392"/>
      <c r="I10" s="392"/>
      <c r="J10" s="44"/>
    </row>
    <row r="11" spans="1:10" ht="13.5" customHeight="1" x14ac:dyDescent="0.25">
      <c r="A11" s="393" t="s">
        <v>1</v>
      </c>
      <c r="B11" s="393"/>
      <c r="C11" s="393"/>
      <c r="D11" s="393"/>
      <c r="E11" s="393"/>
      <c r="F11" s="393"/>
      <c r="G11" s="393"/>
      <c r="H11" s="393"/>
      <c r="I11" s="393"/>
      <c r="J11" s="45"/>
    </row>
    <row r="12" spans="1:10" ht="13.5" customHeight="1" x14ac:dyDescent="0.25">
      <c r="A12" s="137" t="s">
        <v>2</v>
      </c>
      <c r="B12" s="349" t="s">
        <v>3</v>
      </c>
      <c r="C12" s="349"/>
      <c r="D12" s="349"/>
      <c r="E12" s="397">
        <f>MARCEN!E12</f>
        <v>45065</v>
      </c>
      <c r="F12" s="398"/>
      <c r="G12" s="398"/>
      <c r="H12" s="398"/>
      <c r="I12" s="398"/>
      <c r="J12" s="46"/>
    </row>
    <row r="13" spans="1:10" ht="13.5" customHeight="1" x14ac:dyDescent="0.25">
      <c r="A13" s="137" t="s">
        <v>4</v>
      </c>
      <c r="B13" s="387" t="s">
        <v>5</v>
      </c>
      <c r="C13" s="387"/>
      <c r="D13" s="387"/>
      <c r="E13" s="397" t="str">
        <f>MARCEN!E13</f>
        <v>Picos/PI</v>
      </c>
      <c r="F13" s="398"/>
      <c r="G13" s="398"/>
      <c r="H13" s="398"/>
      <c r="I13" s="398"/>
      <c r="J13" s="47"/>
    </row>
    <row r="14" spans="1:10" ht="13.5" customHeight="1" x14ac:dyDescent="0.25">
      <c r="A14" s="137" t="s">
        <v>6</v>
      </c>
      <c r="B14" s="387" t="s">
        <v>7</v>
      </c>
      <c r="C14" s="387"/>
      <c r="D14" s="387"/>
      <c r="E14" s="397" t="str">
        <f>MARCEN!E14</f>
        <v>PI000066/2023</v>
      </c>
      <c r="F14" s="398"/>
      <c r="G14" s="398"/>
      <c r="H14" s="398"/>
      <c r="I14" s="398"/>
      <c r="J14" s="48"/>
    </row>
    <row r="15" spans="1:10" ht="13.5" customHeight="1" x14ac:dyDescent="0.25">
      <c r="A15" s="137" t="s">
        <v>8</v>
      </c>
      <c r="B15" s="349" t="s">
        <v>9</v>
      </c>
      <c r="C15" s="349"/>
      <c r="D15" s="349"/>
      <c r="E15" s="342" t="s">
        <v>194</v>
      </c>
      <c r="F15" s="342"/>
      <c r="G15" s="342"/>
      <c r="H15" s="342"/>
      <c r="I15" s="342"/>
      <c r="J15" s="147"/>
    </row>
    <row r="16" spans="1:10" x14ac:dyDescent="0.25">
      <c r="A16" s="385"/>
      <c r="B16" s="385"/>
      <c r="C16" s="385"/>
      <c r="D16" s="385"/>
      <c r="E16" s="385"/>
      <c r="F16" s="385"/>
      <c r="G16" s="385"/>
      <c r="H16" s="385"/>
      <c r="I16" s="385"/>
      <c r="J16" s="139"/>
    </row>
    <row r="17" spans="1:16" ht="26.25" customHeight="1" x14ac:dyDescent="0.25">
      <c r="A17" s="335" t="s">
        <v>10</v>
      </c>
      <c r="B17" s="335"/>
      <c r="C17" s="335"/>
      <c r="D17" s="335"/>
      <c r="E17" s="335"/>
      <c r="F17" s="335" t="s">
        <v>11</v>
      </c>
      <c r="G17" s="335"/>
      <c r="H17" s="356" t="s">
        <v>207</v>
      </c>
      <c r="I17" s="356"/>
      <c r="J17" s="49"/>
      <c r="O17" s="30"/>
    </row>
    <row r="18" spans="1:16" x14ac:dyDescent="0.25">
      <c r="A18" s="342" t="str">
        <f>A9</f>
        <v>ATENDENTE</v>
      </c>
      <c r="B18" s="342"/>
      <c r="C18" s="342"/>
      <c r="D18" s="342"/>
      <c r="E18" s="342"/>
      <c r="F18" s="342" t="s">
        <v>257</v>
      </c>
      <c r="G18" s="342"/>
      <c r="H18" s="386">
        <v>1</v>
      </c>
      <c r="I18" s="386"/>
      <c r="J18" s="50"/>
    </row>
    <row r="19" spans="1:16" x14ac:dyDescent="0.25">
      <c r="A19" s="356" t="s">
        <v>124</v>
      </c>
      <c r="B19" s="356"/>
      <c r="C19" s="356"/>
      <c r="D19" s="356"/>
      <c r="E19" s="356"/>
      <c r="F19" s="356"/>
      <c r="G19" s="356"/>
      <c r="H19" s="356"/>
      <c r="I19" s="356"/>
      <c r="J19" s="49"/>
    </row>
    <row r="20" spans="1:16" x14ac:dyDescent="0.25">
      <c r="A20" s="137">
        <v>1</v>
      </c>
      <c r="B20" s="349" t="s">
        <v>12</v>
      </c>
      <c r="C20" s="349"/>
      <c r="D20" s="349"/>
      <c r="E20" s="349"/>
      <c r="F20" s="349"/>
      <c r="G20" s="349"/>
      <c r="H20" s="379" t="s">
        <v>251</v>
      </c>
      <c r="I20" s="379"/>
      <c r="J20" s="147"/>
    </row>
    <row r="21" spans="1:16" x14ac:dyDescent="0.25">
      <c r="A21" s="137">
        <v>2</v>
      </c>
      <c r="B21" s="339" t="s">
        <v>216</v>
      </c>
      <c r="C21" s="340"/>
      <c r="D21" s="340"/>
      <c r="E21" s="340"/>
      <c r="F21" s="340"/>
      <c r="G21" s="380"/>
      <c r="H21" s="381" t="s">
        <v>271</v>
      </c>
      <c r="I21" s="382"/>
      <c r="J21" s="147"/>
    </row>
    <row r="22" spans="1:16" s="21" customFormat="1" ht="12.75" x14ac:dyDescent="0.2">
      <c r="A22" s="204">
        <v>3</v>
      </c>
      <c r="B22" s="383" t="s">
        <v>13</v>
      </c>
      <c r="C22" s="383"/>
      <c r="D22" s="383"/>
      <c r="E22" s="383"/>
      <c r="F22" s="383"/>
      <c r="G22" s="383"/>
      <c r="H22" s="384">
        <f>1257.9*107.43%</f>
        <v>1351.3619700000002</v>
      </c>
      <c r="I22" s="384"/>
      <c r="J22" s="51"/>
    </row>
    <row r="23" spans="1:16" x14ac:dyDescent="0.25">
      <c r="A23" s="137">
        <v>4</v>
      </c>
      <c r="B23" s="349" t="s">
        <v>14</v>
      </c>
      <c r="C23" s="349"/>
      <c r="D23" s="349"/>
      <c r="E23" s="349"/>
      <c r="F23" s="349"/>
      <c r="G23" s="349"/>
      <c r="H23" s="374" t="str">
        <f>A9</f>
        <v>ATENDENTE</v>
      </c>
      <c r="I23" s="374"/>
      <c r="J23" s="52"/>
      <c r="N23" s="4"/>
    </row>
    <row r="24" spans="1:16" x14ac:dyDescent="0.25">
      <c r="A24" s="137">
        <v>5</v>
      </c>
      <c r="B24" s="375" t="s">
        <v>15</v>
      </c>
      <c r="C24" s="375"/>
      <c r="D24" s="375"/>
      <c r="E24" s="375"/>
      <c r="F24" s="375"/>
      <c r="G24" s="375"/>
      <c r="H24" s="376">
        <v>44927</v>
      </c>
      <c r="I24" s="377"/>
      <c r="J24" s="53"/>
    </row>
    <row r="25" spans="1:16" x14ac:dyDescent="0.25">
      <c r="A25" s="378"/>
      <c r="B25" s="378"/>
      <c r="C25" s="378"/>
      <c r="D25" s="378"/>
      <c r="E25" s="378"/>
      <c r="F25" s="378"/>
      <c r="G25" s="378"/>
      <c r="H25" s="378"/>
      <c r="I25" s="378"/>
      <c r="J25" s="147"/>
    </row>
    <row r="26" spans="1:16" ht="13.5" customHeight="1" x14ac:dyDescent="0.25">
      <c r="A26" s="347" t="s">
        <v>16</v>
      </c>
      <c r="B26" s="347"/>
      <c r="C26" s="347"/>
      <c r="D26" s="347"/>
      <c r="E26" s="347"/>
      <c r="F26" s="347"/>
      <c r="G26" s="347"/>
      <c r="H26" s="347"/>
      <c r="I26" s="347"/>
      <c r="J26" s="54"/>
    </row>
    <row r="27" spans="1:16" ht="13.5" customHeight="1" x14ac:dyDescent="0.25">
      <c r="A27" s="142">
        <v>1</v>
      </c>
      <c r="B27" s="335" t="s">
        <v>17</v>
      </c>
      <c r="C27" s="335"/>
      <c r="D27" s="335"/>
      <c r="E27" s="335"/>
      <c r="F27" s="335"/>
      <c r="G27" s="335" t="s">
        <v>18</v>
      </c>
      <c r="H27" s="335"/>
      <c r="I27" s="142" t="s">
        <v>19</v>
      </c>
      <c r="J27" s="55"/>
    </row>
    <row r="28" spans="1:16" s="223" customFormat="1" ht="13.5" customHeight="1" x14ac:dyDescent="0.25">
      <c r="A28" s="219" t="s">
        <v>2</v>
      </c>
      <c r="B28" s="372" t="s">
        <v>20</v>
      </c>
      <c r="C28" s="372"/>
      <c r="D28" s="372"/>
      <c r="E28" s="372"/>
      <c r="F28" s="372"/>
      <c r="G28" s="373">
        <v>1</v>
      </c>
      <c r="H28" s="373"/>
      <c r="I28" s="220">
        <f>H22</f>
        <v>1351.3619700000002</v>
      </c>
      <c r="J28" s="221"/>
      <c r="K28" s="222"/>
      <c r="L28" s="222"/>
      <c r="M28" s="222"/>
      <c r="N28" s="222"/>
      <c r="O28" s="222"/>
      <c r="P28" s="222"/>
    </row>
    <row r="29" spans="1:16" ht="13.5" customHeight="1" x14ac:dyDescent="0.25">
      <c r="A29" s="137" t="s">
        <v>4</v>
      </c>
      <c r="B29" s="357" t="s">
        <v>21</v>
      </c>
      <c r="C29" s="357"/>
      <c r="D29" s="357"/>
      <c r="E29" s="357"/>
      <c r="F29" s="357"/>
      <c r="G29" s="370">
        <v>0</v>
      </c>
      <c r="H29" s="370"/>
      <c r="I29" s="58">
        <f>(I28*G29)</f>
        <v>0</v>
      </c>
      <c r="J29" s="59"/>
    </row>
    <row r="30" spans="1:16" ht="13.5" customHeight="1" x14ac:dyDescent="0.25">
      <c r="A30" s="137" t="s">
        <v>6</v>
      </c>
      <c r="B30" s="357" t="s">
        <v>22</v>
      </c>
      <c r="C30" s="357"/>
      <c r="D30" s="357"/>
      <c r="E30" s="357"/>
      <c r="F30" s="357"/>
      <c r="G30" s="370">
        <v>0</v>
      </c>
      <c r="H30" s="370"/>
      <c r="I30" s="56">
        <f>(I28*G30)</f>
        <v>0</v>
      </c>
      <c r="J30" s="57"/>
    </row>
    <row r="31" spans="1:16" ht="13.5" customHeight="1" x14ac:dyDescent="0.25">
      <c r="A31" s="137" t="s">
        <v>8</v>
      </c>
      <c r="B31" s="357" t="s">
        <v>23</v>
      </c>
      <c r="C31" s="357"/>
      <c r="D31" s="357"/>
      <c r="E31" s="357"/>
      <c r="F31" s="357"/>
      <c r="G31" s="370">
        <v>0</v>
      </c>
      <c r="H31" s="370"/>
      <c r="I31" s="56">
        <v>0</v>
      </c>
      <c r="J31" s="57"/>
    </row>
    <row r="32" spans="1:16" ht="13.5" customHeight="1" x14ac:dyDescent="0.25">
      <c r="A32" s="137" t="s">
        <v>24</v>
      </c>
      <c r="B32" s="357" t="s">
        <v>25</v>
      </c>
      <c r="C32" s="357"/>
      <c r="D32" s="357"/>
      <c r="E32" s="357"/>
      <c r="F32" s="357"/>
      <c r="G32" s="370">
        <v>0</v>
      </c>
      <c r="H32" s="370"/>
      <c r="I32" s="56">
        <v>0</v>
      </c>
      <c r="J32" s="57"/>
    </row>
    <row r="33" spans="1:16" ht="13.5" customHeight="1" x14ac:dyDescent="0.25">
      <c r="A33" s="137" t="s">
        <v>26</v>
      </c>
      <c r="B33" s="357" t="s">
        <v>27</v>
      </c>
      <c r="C33" s="357"/>
      <c r="D33" s="357"/>
      <c r="E33" s="357"/>
      <c r="F33" s="357"/>
      <c r="G33" s="370">
        <v>0</v>
      </c>
      <c r="H33" s="370"/>
      <c r="I33" s="56">
        <v>0</v>
      </c>
      <c r="J33" s="57"/>
    </row>
    <row r="34" spans="1:16" ht="13.5" customHeight="1" x14ac:dyDescent="0.25">
      <c r="A34" s="137" t="s">
        <v>28</v>
      </c>
      <c r="B34" s="349" t="s">
        <v>29</v>
      </c>
      <c r="C34" s="349"/>
      <c r="D34" s="349"/>
      <c r="E34" s="349"/>
      <c r="F34" s="349"/>
      <c r="G34" s="370">
        <v>0</v>
      </c>
      <c r="H34" s="370"/>
      <c r="I34" s="56">
        <v>0</v>
      </c>
      <c r="J34" s="57"/>
    </row>
    <row r="35" spans="1:16" ht="13.5" customHeight="1" x14ac:dyDescent="0.25">
      <c r="A35" s="335" t="s">
        <v>30</v>
      </c>
      <c r="B35" s="335"/>
      <c r="C35" s="335"/>
      <c r="D35" s="335"/>
      <c r="E35" s="335"/>
      <c r="F35" s="335"/>
      <c r="G35" s="335"/>
      <c r="H35" s="335"/>
      <c r="I35" s="60">
        <f>SUM(I28:I34)</f>
        <v>1351.3619700000002</v>
      </c>
      <c r="J35" s="61"/>
    </row>
    <row r="36" spans="1:16" x14ac:dyDescent="0.25">
      <c r="A36" s="371"/>
      <c r="B36" s="371"/>
      <c r="C36" s="371"/>
      <c r="D36" s="371"/>
      <c r="E36" s="371"/>
      <c r="F36" s="371"/>
      <c r="G36" s="371"/>
      <c r="H36" s="371"/>
      <c r="I36" s="371"/>
      <c r="J36" s="149"/>
    </row>
    <row r="37" spans="1:16" ht="13.5" customHeight="1" x14ac:dyDescent="0.25">
      <c r="A37" s="347" t="s">
        <v>127</v>
      </c>
      <c r="B37" s="347"/>
      <c r="C37" s="347"/>
      <c r="D37" s="347"/>
      <c r="E37" s="347"/>
      <c r="F37" s="347"/>
      <c r="G37" s="347"/>
      <c r="H37" s="347"/>
      <c r="I37" s="347"/>
      <c r="J37" s="54"/>
    </row>
    <row r="38" spans="1:16" ht="13.5" customHeight="1" x14ac:dyDescent="0.25">
      <c r="A38" s="142" t="s">
        <v>31</v>
      </c>
      <c r="B38" s="359" t="s">
        <v>32</v>
      </c>
      <c r="C38" s="359"/>
      <c r="D38" s="359"/>
      <c r="E38" s="359"/>
      <c r="F38" s="359"/>
      <c r="G38" s="359"/>
      <c r="H38" s="142" t="s">
        <v>18</v>
      </c>
      <c r="I38" s="142" t="s">
        <v>19</v>
      </c>
      <c r="J38" s="55"/>
    </row>
    <row r="39" spans="1:16" ht="13.5" customHeight="1" x14ac:dyDescent="0.25">
      <c r="A39" s="137" t="s">
        <v>2</v>
      </c>
      <c r="B39" s="358" t="s">
        <v>33</v>
      </c>
      <c r="C39" s="358"/>
      <c r="D39" s="358"/>
      <c r="E39" s="358"/>
      <c r="F39" s="358"/>
      <c r="G39" s="358"/>
      <c r="H39" s="148">
        <f>(1/12)*1</f>
        <v>8.3333333333333329E-2</v>
      </c>
      <c r="I39" s="56">
        <f>$I$35*H39</f>
        <v>112.61349750000001</v>
      </c>
      <c r="J39" s="57"/>
    </row>
    <row r="40" spans="1:16" ht="13.5" customHeight="1" x14ac:dyDescent="0.25">
      <c r="A40" s="137" t="s">
        <v>4</v>
      </c>
      <c r="B40" s="358" t="s">
        <v>34</v>
      </c>
      <c r="C40" s="358"/>
      <c r="D40" s="358"/>
      <c r="E40" s="358"/>
      <c r="F40" s="358"/>
      <c r="G40" s="358"/>
      <c r="H40" s="148">
        <f>((1+1/3)/12)*1</f>
        <v>0.1111111111111111</v>
      </c>
      <c r="I40" s="56">
        <f>$I$35*H40</f>
        <v>150.15133</v>
      </c>
      <c r="J40" s="57"/>
    </row>
    <row r="41" spans="1:16" ht="13.5" customHeight="1" x14ac:dyDescent="0.25">
      <c r="A41" s="62"/>
      <c r="B41" s="335" t="s">
        <v>35</v>
      </c>
      <c r="C41" s="335"/>
      <c r="D41" s="335"/>
      <c r="E41" s="335"/>
      <c r="F41" s="335"/>
      <c r="G41" s="335"/>
      <c r="H41" s="63">
        <f>SUM(H39:H40)</f>
        <v>0.19444444444444442</v>
      </c>
      <c r="I41" s="64">
        <f>SUM(I39:I40)</f>
        <v>262.76482750000002</v>
      </c>
      <c r="J41" s="65"/>
      <c r="K41" s="31">
        <f>H52*H41</f>
        <v>6.9766666666666671E-2</v>
      </c>
    </row>
    <row r="42" spans="1:16" ht="9.75" customHeight="1" x14ac:dyDescent="0.25">
      <c r="A42" s="141"/>
      <c r="B42" s="141"/>
      <c r="C42" s="141"/>
      <c r="D42" s="141"/>
      <c r="E42" s="141"/>
      <c r="F42" s="141"/>
      <c r="G42" s="141"/>
      <c r="H42" s="141"/>
      <c r="I42" s="66"/>
      <c r="J42" s="66"/>
    </row>
    <row r="43" spans="1:16" ht="13.5" customHeight="1" x14ac:dyDescent="0.25">
      <c r="A43" s="142" t="s">
        <v>36</v>
      </c>
      <c r="B43" s="359" t="s">
        <v>37</v>
      </c>
      <c r="C43" s="359"/>
      <c r="D43" s="359"/>
      <c r="E43" s="359"/>
      <c r="F43" s="359"/>
      <c r="G43" s="359"/>
      <c r="H43" s="142" t="s">
        <v>18</v>
      </c>
      <c r="I43" s="142" t="s">
        <v>19</v>
      </c>
      <c r="J43" s="55"/>
    </row>
    <row r="44" spans="1:16" ht="13.5" customHeight="1" x14ac:dyDescent="0.25">
      <c r="A44" s="137" t="s">
        <v>2</v>
      </c>
      <c r="B44" s="358" t="s">
        <v>38</v>
      </c>
      <c r="C44" s="358"/>
      <c r="D44" s="358"/>
      <c r="E44" s="358"/>
      <c r="F44" s="358"/>
      <c r="G44" s="358"/>
      <c r="H44" s="128">
        <v>0.2</v>
      </c>
      <c r="I44" s="56">
        <f>SUM($I$35,$I$41)*H44</f>
        <v>322.82535950000005</v>
      </c>
      <c r="J44" s="57"/>
    </row>
    <row r="45" spans="1:16" ht="13.5" customHeight="1" x14ac:dyDescent="0.25">
      <c r="A45" s="137" t="s">
        <v>4</v>
      </c>
      <c r="B45" s="358" t="s">
        <v>39</v>
      </c>
      <c r="C45" s="358"/>
      <c r="D45" s="358"/>
      <c r="E45" s="358"/>
      <c r="F45" s="358"/>
      <c r="G45" s="358"/>
      <c r="H45" s="67">
        <v>2.5000000000000001E-2</v>
      </c>
      <c r="I45" s="56">
        <f t="shared" ref="I45:I51" si="0">SUM($I$35,$I$41)*H45</f>
        <v>40.353169937500006</v>
      </c>
      <c r="J45" s="57"/>
    </row>
    <row r="46" spans="1:16" s="83" customFormat="1" ht="13.5" customHeight="1" x14ac:dyDescent="0.25">
      <c r="A46" s="205" t="s">
        <v>6</v>
      </c>
      <c r="B46" s="364" t="s">
        <v>40</v>
      </c>
      <c r="C46" s="364"/>
      <c r="D46" s="364"/>
      <c r="E46" s="364"/>
      <c r="F46" s="364"/>
      <c r="G46" s="364"/>
      <c r="H46" s="207">
        <v>2.0799999999999999E-2</v>
      </c>
      <c r="I46" s="81">
        <f t="shared" si="0"/>
        <v>33.573837388000001</v>
      </c>
      <c r="J46" s="82"/>
      <c r="K46" s="21"/>
      <c r="L46" s="21"/>
      <c r="M46" s="21"/>
      <c r="N46" s="21"/>
      <c r="O46" s="21"/>
      <c r="P46" s="21"/>
    </row>
    <row r="47" spans="1:16" ht="13.5" customHeight="1" x14ac:dyDescent="0.25">
      <c r="A47" s="137" t="s">
        <v>8</v>
      </c>
      <c r="B47" s="358" t="s">
        <v>41</v>
      </c>
      <c r="C47" s="358"/>
      <c r="D47" s="358"/>
      <c r="E47" s="358"/>
      <c r="F47" s="358"/>
      <c r="G47" s="358"/>
      <c r="H47" s="68">
        <v>1.4999999999999999E-2</v>
      </c>
      <c r="I47" s="56">
        <f t="shared" si="0"/>
        <v>24.211901962500001</v>
      </c>
      <c r="J47" s="57"/>
    </row>
    <row r="48" spans="1:16" ht="13.5" customHeight="1" x14ac:dyDescent="0.25">
      <c r="A48" s="137" t="s">
        <v>24</v>
      </c>
      <c r="B48" s="358" t="s">
        <v>42</v>
      </c>
      <c r="C48" s="358"/>
      <c r="D48" s="358"/>
      <c r="E48" s="358"/>
      <c r="F48" s="358"/>
      <c r="G48" s="358"/>
      <c r="H48" s="68">
        <v>0.01</v>
      </c>
      <c r="I48" s="56">
        <f t="shared" si="0"/>
        <v>16.141267975000002</v>
      </c>
      <c r="J48" s="57"/>
    </row>
    <row r="49" spans="1:16" ht="13.5" customHeight="1" x14ac:dyDescent="0.25">
      <c r="A49" s="137" t="s">
        <v>26</v>
      </c>
      <c r="B49" s="358" t="s">
        <v>43</v>
      </c>
      <c r="C49" s="358"/>
      <c r="D49" s="358"/>
      <c r="E49" s="358"/>
      <c r="F49" s="358"/>
      <c r="G49" s="358"/>
      <c r="H49" s="68">
        <v>6.0000000000000001E-3</v>
      </c>
      <c r="I49" s="56">
        <f t="shared" si="0"/>
        <v>9.6847607849999999</v>
      </c>
      <c r="J49" s="57"/>
    </row>
    <row r="50" spans="1:16" ht="13.5" customHeight="1" x14ac:dyDescent="0.25">
      <c r="A50" s="137" t="s">
        <v>28</v>
      </c>
      <c r="B50" s="358" t="s">
        <v>44</v>
      </c>
      <c r="C50" s="358"/>
      <c r="D50" s="358"/>
      <c r="E50" s="358"/>
      <c r="F50" s="358"/>
      <c r="G50" s="358"/>
      <c r="H50" s="68">
        <v>2E-3</v>
      </c>
      <c r="I50" s="56">
        <f t="shared" si="0"/>
        <v>3.2282535950000004</v>
      </c>
      <c r="J50" s="57"/>
    </row>
    <row r="51" spans="1:16" ht="13.5" customHeight="1" x14ac:dyDescent="0.25">
      <c r="A51" s="137" t="s">
        <v>45</v>
      </c>
      <c r="B51" s="358" t="s">
        <v>46</v>
      </c>
      <c r="C51" s="358"/>
      <c r="D51" s="358"/>
      <c r="E51" s="358"/>
      <c r="F51" s="358"/>
      <c r="G51" s="358"/>
      <c r="H51" s="68">
        <v>0.08</v>
      </c>
      <c r="I51" s="56">
        <f t="shared" si="0"/>
        <v>129.13014380000001</v>
      </c>
      <c r="J51" s="57"/>
    </row>
    <row r="52" spans="1:16" ht="13.5" customHeight="1" x14ac:dyDescent="0.25">
      <c r="A52" s="336" t="s">
        <v>47</v>
      </c>
      <c r="B52" s="337"/>
      <c r="C52" s="337"/>
      <c r="D52" s="337"/>
      <c r="E52" s="337"/>
      <c r="F52" s="337"/>
      <c r="G52" s="338"/>
      <c r="H52" s="63">
        <f>SUM(H44:H51)</f>
        <v>0.35880000000000006</v>
      </c>
      <c r="I52" s="69">
        <f>SUM(I44:I51)</f>
        <v>579.14869494300012</v>
      </c>
      <c r="J52" s="70"/>
    </row>
    <row r="53" spans="1:16" ht="10.5" customHeight="1" x14ac:dyDescent="0.25">
      <c r="A53" s="141"/>
      <c r="B53" s="141"/>
      <c r="C53" s="141"/>
      <c r="D53" s="141"/>
      <c r="E53" s="141"/>
      <c r="F53" s="141"/>
      <c r="G53" s="141"/>
      <c r="H53" s="141"/>
      <c r="I53" s="71"/>
      <c r="J53" s="71"/>
    </row>
    <row r="54" spans="1:16" ht="13.5" customHeight="1" x14ac:dyDescent="0.25">
      <c r="A54" s="142" t="s">
        <v>48</v>
      </c>
      <c r="B54" s="359" t="s">
        <v>49</v>
      </c>
      <c r="C54" s="359"/>
      <c r="D54" s="359"/>
      <c r="E54" s="359"/>
      <c r="F54" s="359"/>
      <c r="G54" s="359"/>
      <c r="H54" s="142" t="s">
        <v>50</v>
      </c>
      <c r="I54" s="142" t="s">
        <v>19</v>
      </c>
      <c r="J54" s="55"/>
    </row>
    <row r="55" spans="1:16" s="223" customFormat="1" ht="13.5" customHeight="1" x14ac:dyDescent="0.25">
      <c r="A55" s="219" t="s">
        <v>2</v>
      </c>
      <c r="B55" s="367" t="s">
        <v>324</v>
      </c>
      <c r="C55" s="367"/>
      <c r="D55" s="367"/>
      <c r="E55" s="367"/>
      <c r="F55" s="367"/>
      <c r="G55" s="367"/>
      <c r="H55" s="225">
        <v>5</v>
      </c>
      <c r="I55" s="226">
        <f>(H55*2*22)-(I28*6%)</f>
        <v>138.91828179999999</v>
      </c>
      <c r="J55" s="227"/>
      <c r="K55" s="224"/>
      <c r="L55" s="222"/>
      <c r="M55" s="222"/>
      <c r="N55" s="222"/>
      <c r="O55" s="222"/>
      <c r="P55" s="222"/>
    </row>
    <row r="56" spans="1:16" s="223" customFormat="1" ht="13.5" customHeight="1" x14ac:dyDescent="0.25">
      <c r="A56" s="219" t="s">
        <v>4</v>
      </c>
      <c r="B56" s="367" t="s">
        <v>322</v>
      </c>
      <c r="C56" s="367"/>
      <c r="D56" s="367"/>
      <c r="E56" s="367"/>
      <c r="F56" s="367"/>
      <c r="G56" s="367"/>
      <c r="H56" s="225">
        <v>412.05</v>
      </c>
      <c r="I56" s="220">
        <f>H56</f>
        <v>412.05</v>
      </c>
      <c r="J56" s="221"/>
      <c r="K56" s="222"/>
      <c r="L56" s="222"/>
      <c r="M56" s="222"/>
      <c r="N56" s="222"/>
      <c r="O56" s="222"/>
      <c r="P56" s="222"/>
    </row>
    <row r="57" spans="1:16" ht="13.5" customHeight="1" x14ac:dyDescent="0.25">
      <c r="A57" s="137" t="s">
        <v>6</v>
      </c>
      <c r="B57" s="369" t="s">
        <v>310</v>
      </c>
      <c r="C57" s="369"/>
      <c r="D57" s="369"/>
      <c r="E57" s="369"/>
      <c r="F57" s="369"/>
      <c r="G57" s="369"/>
      <c r="H57" s="73">
        <v>141.68</v>
      </c>
      <c r="I57" s="177">
        <f>(H57*40%)</f>
        <v>56.672000000000004</v>
      </c>
      <c r="J57" s="57"/>
      <c r="K57" s="166"/>
    </row>
    <row r="58" spans="1:16" ht="13.5" customHeight="1" x14ac:dyDescent="0.25">
      <c r="A58" s="136" t="s">
        <v>8</v>
      </c>
      <c r="B58" s="368" t="s">
        <v>252</v>
      </c>
      <c r="C58" s="368"/>
      <c r="D58" s="368"/>
      <c r="E58" s="368"/>
      <c r="F58" s="368"/>
      <c r="G58" s="368"/>
      <c r="H58" s="73">
        <f>I35</f>
        <v>1351.3619700000002</v>
      </c>
      <c r="I58" s="74">
        <f>(H58*26)*0.002/12</f>
        <v>5.8559018700000003</v>
      </c>
      <c r="J58" s="72"/>
    </row>
    <row r="59" spans="1:16" ht="13.5" customHeight="1" x14ac:dyDescent="0.25">
      <c r="A59" s="137" t="s">
        <v>24</v>
      </c>
      <c r="B59" s="358" t="s">
        <v>203</v>
      </c>
      <c r="C59" s="358"/>
      <c r="D59" s="358"/>
      <c r="E59" s="358"/>
      <c r="F59" s="358"/>
      <c r="G59" s="358"/>
      <c r="H59" s="73">
        <v>0</v>
      </c>
      <c r="I59" s="74">
        <f>(H59*6*0.02)/12</f>
        <v>0</v>
      </c>
      <c r="J59" s="72"/>
    </row>
    <row r="60" spans="1:16" ht="13.5" customHeight="1" x14ac:dyDescent="0.25">
      <c r="A60" s="137" t="s">
        <v>26</v>
      </c>
      <c r="B60" s="369" t="s">
        <v>202</v>
      </c>
      <c r="C60" s="369"/>
      <c r="D60" s="369"/>
      <c r="E60" s="369"/>
      <c r="F60" s="369"/>
      <c r="G60" s="369"/>
      <c r="H60" s="75">
        <v>0</v>
      </c>
      <c r="I60" s="76">
        <f>H60</f>
        <v>0</v>
      </c>
      <c r="J60" s="77"/>
    </row>
    <row r="61" spans="1:16" ht="13.5" customHeight="1" x14ac:dyDescent="0.25">
      <c r="A61" s="137" t="s">
        <v>28</v>
      </c>
      <c r="B61" s="358" t="s">
        <v>51</v>
      </c>
      <c r="C61" s="358"/>
      <c r="D61" s="358"/>
      <c r="E61" s="358"/>
      <c r="F61" s="358"/>
      <c r="G61" s="358"/>
      <c r="H61" s="73">
        <v>0</v>
      </c>
      <c r="I61" s="56">
        <f>H61</f>
        <v>0</v>
      </c>
      <c r="J61" s="57"/>
    </row>
    <row r="62" spans="1:16" s="78" customFormat="1" ht="13.5" customHeight="1" x14ac:dyDescent="0.25">
      <c r="A62" s="146" t="s">
        <v>45</v>
      </c>
      <c r="B62" s="369" t="s">
        <v>209</v>
      </c>
      <c r="C62" s="369"/>
      <c r="D62" s="369"/>
      <c r="E62" s="369"/>
      <c r="F62" s="369"/>
      <c r="G62" s="369"/>
      <c r="H62" s="75">
        <v>0</v>
      </c>
      <c r="I62" s="76">
        <f>H62</f>
        <v>0</v>
      </c>
      <c r="J62" s="77"/>
      <c r="K62" s="32"/>
      <c r="L62" s="32"/>
      <c r="M62" s="32"/>
      <c r="N62" s="32"/>
      <c r="O62" s="32"/>
      <c r="P62" s="32"/>
    </row>
    <row r="63" spans="1:16" ht="13.5" customHeight="1" x14ac:dyDescent="0.25">
      <c r="A63" s="336" t="s">
        <v>52</v>
      </c>
      <c r="B63" s="337"/>
      <c r="C63" s="337"/>
      <c r="D63" s="337"/>
      <c r="E63" s="337"/>
      <c r="F63" s="337"/>
      <c r="G63" s="337"/>
      <c r="H63" s="338"/>
      <c r="I63" s="69">
        <f>TRUNC(SUM(I55:I62),2)</f>
        <v>613.49</v>
      </c>
      <c r="J63" s="70"/>
    </row>
    <row r="64" spans="1:16" ht="12" customHeight="1" x14ac:dyDescent="0.25">
      <c r="A64" s="141"/>
      <c r="B64" s="141"/>
      <c r="C64" s="141"/>
      <c r="D64" s="141"/>
      <c r="E64" s="141"/>
      <c r="F64" s="141"/>
      <c r="G64" s="141"/>
      <c r="H64" s="141"/>
      <c r="I64" s="71"/>
      <c r="J64" s="71"/>
    </row>
    <row r="65" spans="1:16" ht="13.5" customHeight="1" x14ac:dyDescent="0.25">
      <c r="A65" s="335" t="s">
        <v>53</v>
      </c>
      <c r="B65" s="335"/>
      <c r="C65" s="335"/>
      <c r="D65" s="335"/>
      <c r="E65" s="335"/>
      <c r="F65" s="335"/>
      <c r="G65" s="335"/>
      <c r="H65" s="335"/>
      <c r="I65" s="335"/>
      <c r="J65" s="55"/>
    </row>
    <row r="66" spans="1:16" ht="13.5" customHeight="1" x14ac:dyDescent="0.25">
      <c r="A66" s="79" t="s">
        <v>31</v>
      </c>
      <c r="B66" s="368" t="s">
        <v>54</v>
      </c>
      <c r="C66" s="368"/>
      <c r="D66" s="368"/>
      <c r="E66" s="368"/>
      <c r="F66" s="368"/>
      <c r="G66" s="368"/>
      <c r="H66" s="368"/>
      <c r="I66" s="56">
        <f>I41</f>
        <v>262.76482750000002</v>
      </c>
      <c r="J66" s="57"/>
    </row>
    <row r="67" spans="1:16" ht="13.5" customHeight="1" x14ac:dyDescent="0.25">
      <c r="A67" s="79" t="s">
        <v>36</v>
      </c>
      <c r="B67" s="358" t="s">
        <v>55</v>
      </c>
      <c r="C67" s="358"/>
      <c r="D67" s="358"/>
      <c r="E67" s="358"/>
      <c r="F67" s="358"/>
      <c r="G67" s="358"/>
      <c r="H67" s="358"/>
      <c r="I67" s="56">
        <f>I52</f>
        <v>579.14869494300012</v>
      </c>
      <c r="J67" s="57"/>
    </row>
    <row r="68" spans="1:16" ht="13.5" customHeight="1" x14ac:dyDescent="0.25">
      <c r="A68" s="79" t="s">
        <v>48</v>
      </c>
      <c r="B68" s="358" t="s">
        <v>56</v>
      </c>
      <c r="C68" s="358"/>
      <c r="D68" s="358"/>
      <c r="E68" s="358"/>
      <c r="F68" s="358"/>
      <c r="G68" s="358"/>
      <c r="H68" s="358"/>
      <c r="I68" s="56">
        <f>I63</f>
        <v>613.49</v>
      </c>
      <c r="J68" s="57"/>
    </row>
    <row r="69" spans="1:16" ht="13.5" customHeight="1" x14ac:dyDescent="0.25">
      <c r="A69" s="335" t="s">
        <v>57</v>
      </c>
      <c r="B69" s="335"/>
      <c r="C69" s="335"/>
      <c r="D69" s="335"/>
      <c r="E69" s="335"/>
      <c r="F69" s="335"/>
      <c r="G69" s="335"/>
      <c r="H69" s="335"/>
      <c r="I69" s="60">
        <f>SUM(I66:I68)</f>
        <v>1455.4035224430002</v>
      </c>
      <c r="J69" s="61"/>
    </row>
    <row r="70" spans="1:16" x14ac:dyDescent="0.25">
      <c r="A70" s="141"/>
      <c r="B70" s="141"/>
      <c r="C70" s="141"/>
      <c r="D70" s="141"/>
      <c r="E70" s="141"/>
      <c r="F70" s="141"/>
      <c r="G70" s="141"/>
      <c r="H70" s="141"/>
      <c r="I70" s="71"/>
      <c r="J70" s="71"/>
    </row>
    <row r="71" spans="1:16" ht="13.5" customHeight="1" x14ac:dyDescent="0.25">
      <c r="A71" s="347" t="s">
        <v>125</v>
      </c>
      <c r="B71" s="347"/>
      <c r="C71" s="347"/>
      <c r="D71" s="347"/>
      <c r="E71" s="347"/>
      <c r="F71" s="347"/>
      <c r="G71" s="347"/>
      <c r="H71" s="347"/>
      <c r="I71" s="347"/>
      <c r="J71" s="54"/>
    </row>
    <row r="72" spans="1:16" ht="13.5" customHeight="1" x14ac:dyDescent="0.25">
      <c r="A72" s="203">
        <v>3</v>
      </c>
      <c r="B72" s="366" t="s">
        <v>58</v>
      </c>
      <c r="C72" s="366"/>
      <c r="D72" s="366"/>
      <c r="E72" s="366"/>
      <c r="F72" s="366"/>
      <c r="G72" s="366"/>
      <c r="H72" s="203" t="s">
        <v>18</v>
      </c>
      <c r="I72" s="203" t="s">
        <v>19</v>
      </c>
      <c r="J72" s="55"/>
    </row>
    <row r="73" spans="1:16" s="249" customFormat="1" ht="13.5" customHeight="1" x14ac:dyDescent="0.25">
      <c r="A73" s="219" t="s">
        <v>2</v>
      </c>
      <c r="B73" s="367" t="s">
        <v>59</v>
      </c>
      <c r="C73" s="367"/>
      <c r="D73" s="367"/>
      <c r="E73" s="367"/>
      <c r="F73" s="367"/>
      <c r="G73" s="367"/>
      <c r="H73" s="250">
        <f>0.05*(1/12)/30*3</f>
        <v>4.1666666666666664E-4</v>
      </c>
      <c r="I73" s="220">
        <f t="shared" ref="I73:I78" si="1">$I$35*H73</f>
        <v>0.56306748750000002</v>
      </c>
      <c r="J73" s="247"/>
      <c r="K73" s="248"/>
      <c r="L73" s="248"/>
      <c r="M73" s="248"/>
      <c r="N73" s="248"/>
      <c r="O73" s="248"/>
      <c r="P73" s="248"/>
    </row>
    <row r="74" spans="1:16" s="83" customFormat="1" ht="13.5" customHeight="1" x14ac:dyDescent="0.25">
      <c r="A74" s="201" t="s">
        <v>4</v>
      </c>
      <c r="B74" s="364" t="s">
        <v>60</v>
      </c>
      <c r="C74" s="364"/>
      <c r="D74" s="364"/>
      <c r="E74" s="364"/>
      <c r="F74" s="364"/>
      <c r="G74" s="364"/>
      <c r="H74" s="84">
        <f>H51*H73</f>
        <v>3.3333333333333335E-5</v>
      </c>
      <c r="I74" s="81">
        <f t="shared" si="1"/>
        <v>4.5045399000000007E-2</v>
      </c>
      <c r="J74" s="82"/>
      <c r="K74" s="21"/>
      <c r="L74" s="21"/>
      <c r="M74" s="21"/>
      <c r="N74" s="21"/>
      <c r="O74" s="21"/>
      <c r="P74" s="21"/>
    </row>
    <row r="75" spans="1:16" s="83" customFormat="1" ht="13.5" customHeight="1" x14ac:dyDescent="0.25">
      <c r="A75" s="201" t="s">
        <v>6</v>
      </c>
      <c r="B75" s="364" t="s">
        <v>61</v>
      </c>
      <c r="C75" s="364"/>
      <c r="D75" s="364"/>
      <c r="E75" s="364"/>
      <c r="F75" s="364"/>
      <c r="G75" s="364"/>
      <c r="H75" s="84">
        <f>40%*H51*5%</f>
        <v>1.6000000000000001E-3</v>
      </c>
      <c r="I75" s="81">
        <f t="shared" si="1"/>
        <v>2.1621791520000002</v>
      </c>
      <c r="J75" s="82"/>
      <c r="K75" s="21"/>
      <c r="L75" s="21"/>
      <c r="M75" s="21"/>
      <c r="N75" s="21"/>
      <c r="O75" s="21"/>
      <c r="P75" s="21"/>
    </row>
    <row r="76" spans="1:16" s="249" customFormat="1" ht="13.5" customHeight="1" x14ac:dyDescent="0.25">
      <c r="A76" s="219" t="s">
        <v>8</v>
      </c>
      <c r="B76" s="367" t="s">
        <v>62</v>
      </c>
      <c r="C76" s="367"/>
      <c r="D76" s="367"/>
      <c r="E76" s="367"/>
      <c r="F76" s="367"/>
      <c r="G76" s="367"/>
      <c r="H76" s="246">
        <f>(1/30)*7/12*100%/30*3</f>
        <v>1.9444444444444444E-3</v>
      </c>
      <c r="I76" s="220">
        <f t="shared" si="1"/>
        <v>2.6276482750000003</v>
      </c>
      <c r="J76" s="247"/>
      <c r="K76" s="248"/>
      <c r="L76" s="248"/>
      <c r="M76" s="248"/>
      <c r="N76" s="248"/>
      <c r="O76" s="248"/>
      <c r="P76" s="248"/>
    </row>
    <row r="77" spans="1:16" s="83" customFormat="1" ht="13.5" customHeight="1" x14ac:dyDescent="0.25">
      <c r="A77" s="201" t="s">
        <v>24</v>
      </c>
      <c r="B77" s="364" t="s">
        <v>63</v>
      </c>
      <c r="C77" s="364"/>
      <c r="D77" s="364"/>
      <c r="E77" s="364"/>
      <c r="F77" s="364"/>
      <c r="G77" s="364"/>
      <c r="H77" s="85">
        <f>H52*H76</f>
        <v>6.9766666666666675E-4</v>
      </c>
      <c r="I77" s="81">
        <f t="shared" si="1"/>
        <v>0.94280020107000018</v>
      </c>
      <c r="J77" s="82"/>
      <c r="K77" s="21"/>
      <c r="L77" s="21"/>
      <c r="M77" s="21"/>
      <c r="N77" s="21"/>
      <c r="O77" s="21"/>
      <c r="P77" s="21"/>
    </row>
    <row r="78" spans="1:16" s="83" customFormat="1" ht="13.5" customHeight="1" x14ac:dyDescent="0.25">
      <c r="A78" s="201" t="s">
        <v>26</v>
      </c>
      <c r="B78" s="364" t="s">
        <v>64</v>
      </c>
      <c r="C78" s="364"/>
      <c r="D78" s="364"/>
      <c r="E78" s="364"/>
      <c r="F78" s="364"/>
      <c r="G78" s="364"/>
      <c r="H78" s="80">
        <f>40%*H51*95%</f>
        <v>3.04E-2</v>
      </c>
      <c r="I78" s="81">
        <f t="shared" si="1"/>
        <v>41.081403888000004</v>
      </c>
      <c r="J78" s="82"/>
      <c r="K78" s="129"/>
      <c r="L78" s="21"/>
      <c r="M78" s="21"/>
      <c r="N78" s="21"/>
      <c r="O78" s="21"/>
      <c r="P78" s="21"/>
    </row>
    <row r="79" spans="1:16" ht="13.5" customHeight="1" x14ac:dyDescent="0.25">
      <c r="A79" s="336" t="s">
        <v>65</v>
      </c>
      <c r="B79" s="337"/>
      <c r="C79" s="337"/>
      <c r="D79" s="337"/>
      <c r="E79" s="337"/>
      <c r="F79" s="337"/>
      <c r="G79" s="338"/>
      <c r="H79" s="63">
        <f>SUM(H73:H78)</f>
        <v>3.5092111111111109E-2</v>
      </c>
      <c r="I79" s="60">
        <f>SUM(I73:I78)</f>
        <v>47.422144402570005</v>
      </c>
      <c r="J79" s="61"/>
    </row>
    <row r="80" spans="1:16" x14ac:dyDescent="0.25">
      <c r="A80" s="141"/>
      <c r="B80" s="365"/>
      <c r="C80" s="365"/>
      <c r="D80" s="365"/>
      <c r="E80" s="365"/>
      <c r="F80" s="365"/>
      <c r="G80" s="365"/>
      <c r="H80" s="365"/>
      <c r="I80" s="144"/>
      <c r="J80" s="144"/>
    </row>
    <row r="81" spans="1:16" ht="13.5" customHeight="1" x14ac:dyDescent="0.25">
      <c r="A81" s="347" t="s">
        <v>126</v>
      </c>
      <c r="B81" s="347"/>
      <c r="C81" s="347"/>
      <c r="D81" s="347"/>
      <c r="E81" s="347"/>
      <c r="F81" s="347"/>
      <c r="G81" s="347"/>
      <c r="H81" s="347"/>
      <c r="I81" s="347"/>
      <c r="J81" s="54"/>
    </row>
    <row r="82" spans="1:16" ht="13.5" customHeight="1" x14ac:dyDescent="0.25">
      <c r="A82" s="142" t="s">
        <v>66</v>
      </c>
      <c r="B82" s="359" t="s">
        <v>67</v>
      </c>
      <c r="C82" s="359"/>
      <c r="D82" s="359"/>
      <c r="E82" s="359"/>
      <c r="F82" s="359"/>
      <c r="G82" s="359"/>
      <c r="H82" s="142" t="s">
        <v>18</v>
      </c>
      <c r="I82" s="142" t="s">
        <v>19</v>
      </c>
      <c r="J82" s="55"/>
    </row>
    <row r="83" spans="1:16" ht="13.5" customHeight="1" x14ac:dyDescent="0.25">
      <c r="A83" s="137" t="s">
        <v>2</v>
      </c>
      <c r="B83" s="334" t="s">
        <v>68</v>
      </c>
      <c r="C83" s="334"/>
      <c r="D83" s="334"/>
      <c r="E83" s="334"/>
      <c r="F83" s="334"/>
      <c r="G83" s="334"/>
      <c r="H83" s="86">
        <f>(( 1+1/3)/12)/12</f>
        <v>9.2592592592592587E-3</v>
      </c>
      <c r="I83" s="56">
        <f>SUM($I$35,$I$69,$I$79)*H83</f>
        <v>26.427663304125652</v>
      </c>
      <c r="J83" s="57"/>
    </row>
    <row r="84" spans="1:16" s="223" customFormat="1" ht="13.5" customHeight="1" x14ac:dyDescent="0.25">
      <c r="A84" s="219" t="s">
        <v>4</v>
      </c>
      <c r="B84" s="355" t="s">
        <v>69</v>
      </c>
      <c r="C84" s="355"/>
      <c r="D84" s="355"/>
      <c r="E84" s="355"/>
      <c r="F84" s="355"/>
      <c r="G84" s="355"/>
      <c r="H84" s="250">
        <v>0</v>
      </c>
      <c r="I84" s="220">
        <f>SUM($I$35,$I$69,$I$79)*H84</f>
        <v>0</v>
      </c>
      <c r="J84" s="221"/>
      <c r="K84" s="222"/>
      <c r="L84" s="222"/>
      <c r="M84" s="222"/>
      <c r="N84" s="222"/>
      <c r="O84" s="222"/>
      <c r="P84" s="222"/>
    </row>
    <row r="85" spans="1:16" s="223" customFormat="1" ht="13.5" customHeight="1" x14ac:dyDescent="0.25">
      <c r="A85" s="219" t="s">
        <v>6</v>
      </c>
      <c r="B85" s="355" t="s">
        <v>70</v>
      </c>
      <c r="C85" s="355"/>
      <c r="D85" s="355"/>
      <c r="E85" s="355"/>
      <c r="F85" s="355"/>
      <c r="G85" s="355"/>
      <c r="H85" s="250">
        <v>0</v>
      </c>
      <c r="I85" s="220">
        <f>SUM($I$35,$I$69,$I$79)*H85</f>
        <v>0</v>
      </c>
      <c r="J85" s="221"/>
      <c r="K85" s="222"/>
      <c r="L85" s="222"/>
      <c r="M85" s="222"/>
      <c r="N85" s="222"/>
      <c r="O85" s="222"/>
      <c r="P85" s="222"/>
    </row>
    <row r="86" spans="1:16" s="223" customFormat="1" ht="13.5" customHeight="1" x14ac:dyDescent="0.25">
      <c r="A86" s="219" t="s">
        <v>8</v>
      </c>
      <c r="B86" s="355" t="s">
        <v>71</v>
      </c>
      <c r="C86" s="355"/>
      <c r="D86" s="355"/>
      <c r="E86" s="355"/>
      <c r="F86" s="355"/>
      <c r="G86" s="355"/>
      <c r="H86" s="250">
        <v>0</v>
      </c>
      <c r="I86" s="220">
        <f>SUM($I$35,$I$69,$I$79)*H86</f>
        <v>0</v>
      </c>
      <c r="J86" s="221"/>
      <c r="K86" s="222"/>
      <c r="L86" s="222"/>
      <c r="M86" s="222"/>
      <c r="N86" s="222"/>
      <c r="O86" s="222"/>
      <c r="P86" s="222"/>
    </row>
    <row r="87" spans="1:16" s="223" customFormat="1" ht="13.5" customHeight="1" x14ac:dyDescent="0.25">
      <c r="A87" s="219" t="s">
        <v>24</v>
      </c>
      <c r="B87" s="355" t="s">
        <v>72</v>
      </c>
      <c r="C87" s="355"/>
      <c r="D87" s="355"/>
      <c r="E87" s="355"/>
      <c r="F87" s="355"/>
      <c r="G87" s="355"/>
      <c r="H87" s="250">
        <v>0</v>
      </c>
      <c r="I87" s="220">
        <f>SUM($I$35,$I$69,$I$79)*H87</f>
        <v>0</v>
      </c>
      <c r="J87" s="221"/>
      <c r="K87" s="222"/>
      <c r="L87" s="222"/>
      <c r="M87" s="222"/>
      <c r="N87" s="222"/>
      <c r="O87" s="222"/>
      <c r="P87" s="222"/>
    </row>
    <row r="88" spans="1:16" s="223" customFormat="1" ht="13.5" customHeight="1" x14ac:dyDescent="0.25">
      <c r="A88" s="219" t="s">
        <v>26</v>
      </c>
      <c r="B88" s="355" t="s">
        <v>134</v>
      </c>
      <c r="C88" s="355"/>
      <c r="D88" s="355"/>
      <c r="E88" s="355"/>
      <c r="F88" s="355"/>
      <c r="G88" s="355"/>
      <c r="H88" s="246">
        <v>0</v>
      </c>
      <c r="I88" s="220">
        <f t="shared" ref="I88" si="2">SUM($I$35,$I$69,$I$79)*H88</f>
        <v>0</v>
      </c>
      <c r="J88" s="221"/>
      <c r="K88" s="222"/>
      <c r="L88" s="222"/>
      <c r="M88" s="222"/>
      <c r="N88" s="222"/>
      <c r="O88" s="222"/>
      <c r="P88" s="222"/>
    </row>
    <row r="89" spans="1:16" ht="13.5" customHeight="1" x14ac:dyDescent="0.25">
      <c r="A89" s="87"/>
      <c r="B89" s="359" t="s">
        <v>73</v>
      </c>
      <c r="C89" s="359"/>
      <c r="D89" s="359"/>
      <c r="E89" s="359"/>
      <c r="F89" s="359"/>
      <c r="G89" s="359"/>
      <c r="H89" s="88">
        <f>SUM(H83:H88)</f>
        <v>9.2592592592592587E-3</v>
      </c>
      <c r="I89" s="64">
        <f>SUM(I83:I88)</f>
        <v>26.427663304125652</v>
      </c>
      <c r="J89" s="65"/>
      <c r="K89" s="31"/>
      <c r="L89" s="33"/>
      <c r="M89" s="34"/>
    </row>
    <row r="90" spans="1:16" ht="5.25" customHeight="1" x14ac:dyDescent="0.25">
      <c r="A90" s="89"/>
      <c r="B90" s="329"/>
      <c r="C90" s="329"/>
      <c r="D90" s="329"/>
      <c r="E90" s="329"/>
      <c r="F90" s="329"/>
      <c r="G90" s="330"/>
      <c r="H90" s="330"/>
      <c r="I90" s="72"/>
      <c r="J90" s="72"/>
    </row>
    <row r="91" spans="1:16" ht="13.5" customHeight="1" x14ac:dyDescent="0.25">
      <c r="A91" s="142" t="s">
        <v>74</v>
      </c>
      <c r="B91" s="360" t="s">
        <v>75</v>
      </c>
      <c r="C91" s="361"/>
      <c r="D91" s="361"/>
      <c r="E91" s="361"/>
      <c r="F91" s="361"/>
      <c r="G91" s="361"/>
      <c r="H91" s="362"/>
      <c r="I91" s="142" t="s">
        <v>19</v>
      </c>
      <c r="J91" s="55"/>
    </row>
    <row r="92" spans="1:16" ht="13.5" customHeight="1" x14ac:dyDescent="0.25">
      <c r="A92" s="137" t="s">
        <v>2</v>
      </c>
      <c r="B92" s="339" t="s">
        <v>208</v>
      </c>
      <c r="C92" s="340"/>
      <c r="D92" s="340"/>
      <c r="E92" s="340"/>
      <c r="F92" s="340"/>
      <c r="G92" s="340"/>
      <c r="H92" s="363"/>
      <c r="I92" s="90">
        <v>0</v>
      </c>
      <c r="J92" s="91"/>
    </row>
    <row r="93" spans="1:16" ht="13.5" customHeight="1" x14ac:dyDescent="0.25">
      <c r="A93" s="87"/>
      <c r="B93" s="336" t="s">
        <v>76</v>
      </c>
      <c r="C93" s="337"/>
      <c r="D93" s="337"/>
      <c r="E93" s="337"/>
      <c r="F93" s="337"/>
      <c r="G93" s="337"/>
      <c r="H93" s="338"/>
      <c r="I93" s="64">
        <f>SUM(I92)</f>
        <v>0</v>
      </c>
      <c r="J93" s="65"/>
    </row>
    <row r="94" spans="1:16" x14ac:dyDescent="0.25">
      <c r="A94" s="89"/>
      <c r="B94" s="329"/>
      <c r="C94" s="329"/>
      <c r="D94" s="329"/>
      <c r="E94" s="329"/>
      <c r="F94" s="329"/>
      <c r="G94" s="330"/>
      <c r="H94" s="330"/>
      <c r="I94" s="72"/>
      <c r="J94" s="72"/>
    </row>
    <row r="95" spans="1:16" ht="13.5" customHeight="1" x14ac:dyDescent="0.25">
      <c r="A95" s="356" t="s">
        <v>77</v>
      </c>
      <c r="B95" s="356"/>
      <c r="C95" s="356"/>
      <c r="D95" s="356"/>
      <c r="E95" s="356"/>
      <c r="F95" s="356"/>
      <c r="G95" s="356"/>
      <c r="H95" s="356"/>
      <c r="I95" s="356"/>
      <c r="J95" s="49"/>
    </row>
    <row r="96" spans="1:16" ht="13.5" customHeight="1" x14ac:dyDescent="0.25">
      <c r="A96" s="79" t="s">
        <v>66</v>
      </c>
      <c r="B96" s="357" t="s">
        <v>69</v>
      </c>
      <c r="C96" s="357"/>
      <c r="D96" s="357"/>
      <c r="E96" s="357"/>
      <c r="F96" s="357"/>
      <c r="G96" s="357"/>
      <c r="H96" s="357"/>
      <c r="I96" s="56">
        <f>I89</f>
        <v>26.427663304125652</v>
      </c>
      <c r="J96" s="57"/>
    </row>
    <row r="97" spans="1:16" ht="13.5" customHeight="1" x14ac:dyDescent="0.25">
      <c r="A97" s="79" t="s">
        <v>74</v>
      </c>
      <c r="B97" s="358" t="s">
        <v>78</v>
      </c>
      <c r="C97" s="358"/>
      <c r="D97" s="358"/>
      <c r="E97" s="358"/>
      <c r="F97" s="358"/>
      <c r="G97" s="358"/>
      <c r="H97" s="358"/>
      <c r="I97" s="56">
        <f>I93</f>
        <v>0</v>
      </c>
      <c r="J97" s="57"/>
    </row>
    <row r="98" spans="1:16" ht="13.5" customHeight="1" x14ac:dyDescent="0.25">
      <c r="A98" s="335" t="s">
        <v>79</v>
      </c>
      <c r="B98" s="335"/>
      <c r="C98" s="335"/>
      <c r="D98" s="335"/>
      <c r="E98" s="335"/>
      <c r="F98" s="335"/>
      <c r="G98" s="335"/>
      <c r="H98" s="335"/>
      <c r="I98" s="60">
        <f>SUM(I96:I97)</f>
        <v>26.427663304125652</v>
      </c>
      <c r="J98" s="61"/>
    </row>
    <row r="99" spans="1:16" x14ac:dyDescent="0.25">
      <c r="A99" s="89"/>
      <c r="B99" s="329"/>
      <c r="C99" s="329"/>
      <c r="D99" s="329"/>
      <c r="E99" s="329"/>
      <c r="F99" s="329"/>
      <c r="G99" s="330"/>
      <c r="H99" s="330"/>
      <c r="I99" s="72"/>
      <c r="J99" s="72"/>
    </row>
    <row r="100" spans="1:16" ht="13.5" customHeight="1" x14ac:dyDescent="0.25">
      <c r="A100" s="347" t="s">
        <v>128</v>
      </c>
      <c r="B100" s="347"/>
      <c r="C100" s="347"/>
      <c r="D100" s="347"/>
      <c r="E100" s="347"/>
      <c r="F100" s="347"/>
      <c r="G100" s="347"/>
      <c r="H100" s="347"/>
      <c r="I100" s="347"/>
      <c r="J100" s="54"/>
    </row>
    <row r="101" spans="1:16" ht="13.5" customHeight="1" x14ac:dyDescent="0.25">
      <c r="A101" s="142">
        <v>5</v>
      </c>
      <c r="B101" s="335" t="s">
        <v>80</v>
      </c>
      <c r="C101" s="335"/>
      <c r="D101" s="335"/>
      <c r="E101" s="335"/>
      <c r="F101" s="335"/>
      <c r="G101" s="335"/>
      <c r="H101" s="335"/>
      <c r="I101" s="142" t="s">
        <v>19</v>
      </c>
      <c r="J101" s="55"/>
    </row>
    <row r="102" spans="1:16" ht="13.5" customHeight="1" x14ac:dyDescent="0.25">
      <c r="A102" s="137" t="s">
        <v>2</v>
      </c>
      <c r="B102" s="349" t="s">
        <v>142</v>
      </c>
      <c r="C102" s="349"/>
      <c r="D102" s="349"/>
      <c r="E102" s="349"/>
      <c r="F102" s="349"/>
      <c r="G102" s="349"/>
      <c r="H102" s="349"/>
      <c r="I102" s="92">
        <f>(UNIF!G44+UNIF!G59)/2</f>
        <v>70.03164653219622</v>
      </c>
      <c r="J102" s="93"/>
    </row>
    <row r="103" spans="1:16" ht="13.5" customHeight="1" x14ac:dyDescent="0.25">
      <c r="A103" s="137" t="s">
        <v>4</v>
      </c>
      <c r="B103" s="349" t="s">
        <v>81</v>
      </c>
      <c r="C103" s="349"/>
      <c r="D103" s="349"/>
      <c r="E103" s="349"/>
      <c r="F103" s="349"/>
      <c r="G103" s="349"/>
      <c r="H103" s="349"/>
      <c r="I103" s="92">
        <v>0</v>
      </c>
      <c r="J103" s="93"/>
    </row>
    <row r="104" spans="1:16" ht="13.5" customHeight="1" x14ac:dyDescent="0.25">
      <c r="A104" s="137" t="s">
        <v>6</v>
      </c>
      <c r="B104" s="349" t="s">
        <v>206</v>
      </c>
      <c r="C104" s="349"/>
      <c r="D104" s="349"/>
      <c r="E104" s="349"/>
      <c r="F104" s="349"/>
      <c r="G104" s="349"/>
      <c r="H104" s="349"/>
      <c r="I104" s="92">
        <v>0</v>
      </c>
      <c r="J104" s="93"/>
    </row>
    <row r="105" spans="1:16" s="78" customFormat="1" ht="13.5" customHeight="1" x14ac:dyDescent="0.25">
      <c r="A105" s="146" t="s">
        <v>8</v>
      </c>
      <c r="B105" s="350" t="s">
        <v>132</v>
      </c>
      <c r="C105" s="351"/>
      <c r="D105" s="351"/>
      <c r="E105" s="351"/>
      <c r="F105" s="351"/>
      <c r="G105" s="351"/>
      <c r="H105" s="352"/>
      <c r="I105" s="76">
        <v>0</v>
      </c>
      <c r="J105" s="77"/>
      <c r="K105" s="32"/>
      <c r="L105" s="32"/>
      <c r="M105" s="32"/>
      <c r="N105" s="32"/>
      <c r="O105" s="32"/>
      <c r="P105" s="32"/>
    </row>
    <row r="106" spans="1:16" ht="13.5" customHeight="1" x14ac:dyDescent="0.25">
      <c r="A106" s="335" t="s">
        <v>82</v>
      </c>
      <c r="B106" s="335"/>
      <c r="C106" s="335"/>
      <c r="D106" s="335"/>
      <c r="E106" s="335"/>
      <c r="F106" s="335"/>
      <c r="G106" s="335"/>
      <c r="H106" s="335"/>
      <c r="I106" s="60">
        <f>SUM(I102:I105)</f>
        <v>70.03164653219622</v>
      </c>
      <c r="J106" s="61"/>
    </row>
    <row r="107" spans="1:16" x14ac:dyDescent="0.25">
      <c r="A107" s="353"/>
      <c r="B107" s="353"/>
      <c r="C107" s="353"/>
      <c r="D107" s="353"/>
      <c r="E107" s="353"/>
      <c r="F107" s="353"/>
      <c r="G107" s="354"/>
      <c r="H107" s="354"/>
      <c r="I107" s="66"/>
      <c r="J107" s="66"/>
    </row>
    <row r="108" spans="1:16" ht="13.5" customHeight="1" x14ac:dyDescent="0.25">
      <c r="A108" s="347" t="s">
        <v>129</v>
      </c>
      <c r="B108" s="347"/>
      <c r="C108" s="347"/>
      <c r="D108" s="347"/>
      <c r="E108" s="347"/>
      <c r="F108" s="347"/>
      <c r="G108" s="347"/>
      <c r="H108" s="347"/>
      <c r="I108" s="347"/>
      <c r="J108" s="54"/>
    </row>
    <row r="109" spans="1:16" ht="13.5" customHeight="1" x14ac:dyDescent="0.25">
      <c r="A109" s="142">
        <v>6</v>
      </c>
      <c r="B109" s="335" t="s">
        <v>83</v>
      </c>
      <c r="C109" s="335"/>
      <c r="D109" s="335"/>
      <c r="E109" s="335"/>
      <c r="F109" s="335"/>
      <c r="G109" s="335"/>
      <c r="H109" s="142" t="s">
        <v>18</v>
      </c>
      <c r="I109" s="142" t="s">
        <v>19</v>
      </c>
      <c r="J109" s="55"/>
    </row>
    <row r="110" spans="1:16" s="83" customFormat="1" ht="13.5" customHeight="1" x14ac:dyDescent="0.25">
      <c r="A110" s="145" t="s">
        <v>2</v>
      </c>
      <c r="B110" s="348" t="s">
        <v>84</v>
      </c>
      <c r="C110" s="348"/>
      <c r="D110" s="348"/>
      <c r="E110" s="348"/>
      <c r="F110" s="348"/>
      <c r="G110" s="348"/>
      <c r="H110" s="94">
        <v>1.4999999999999999E-2</v>
      </c>
      <c r="I110" s="95">
        <f>SUM($I$129)*H110</f>
        <v>44.259704200228384</v>
      </c>
      <c r="J110" s="96"/>
      <c r="K110" s="178" t="s">
        <v>312</v>
      </c>
      <c r="L110" s="180">
        <v>2547.38</v>
      </c>
      <c r="M110" s="180"/>
      <c r="N110" s="21"/>
      <c r="O110" s="21"/>
      <c r="P110" s="21"/>
    </row>
    <row r="111" spans="1:16" s="83" customFormat="1" ht="13.5" customHeight="1" x14ac:dyDescent="0.25">
      <c r="A111" s="145" t="s">
        <v>4</v>
      </c>
      <c r="B111" s="348" t="s">
        <v>85</v>
      </c>
      <c r="C111" s="348"/>
      <c r="D111" s="348"/>
      <c r="E111" s="348"/>
      <c r="F111" s="348"/>
      <c r="G111" s="348"/>
      <c r="H111" s="94">
        <v>1.303E-2</v>
      </c>
      <c r="I111" s="95">
        <f>SUM($I$129,I110)*H111</f>
        <v>39.023633660994037</v>
      </c>
      <c r="J111" s="96"/>
      <c r="K111" s="178" t="s">
        <v>313</v>
      </c>
      <c r="L111" s="180">
        <f>PROPOSTA!I47</f>
        <v>3245.05</v>
      </c>
      <c r="M111" s="180"/>
      <c r="N111" s="21"/>
      <c r="O111" s="21"/>
      <c r="P111" s="21"/>
    </row>
    <row r="112" spans="1:16" ht="13.5" customHeight="1" x14ac:dyDescent="0.25">
      <c r="A112" s="137"/>
      <c r="B112" s="342"/>
      <c r="C112" s="342"/>
      <c r="D112" s="342"/>
      <c r="E112" s="343" t="s">
        <v>86</v>
      </c>
      <c r="F112" s="343"/>
      <c r="G112" s="343"/>
      <c r="H112" s="343"/>
      <c r="I112" s="97"/>
      <c r="J112" s="98"/>
      <c r="L112" s="181">
        <f>L110-L111</f>
        <v>-697.67000000000007</v>
      </c>
      <c r="M112" s="181"/>
    </row>
    <row r="113" spans="1:10" ht="13.5" customHeight="1" x14ac:dyDescent="0.25">
      <c r="A113" s="137" t="s">
        <v>6</v>
      </c>
      <c r="B113" s="344" t="s">
        <v>87</v>
      </c>
      <c r="C113" s="344"/>
      <c r="D113" s="344"/>
      <c r="E113" s="345">
        <f>SUM(H115,H116,H119)</f>
        <v>6.5060000000000007E-2</v>
      </c>
      <c r="F113" s="346"/>
      <c r="G113" s="345">
        <f>1-((H115+H116+H119))</f>
        <v>0.93493999999999999</v>
      </c>
      <c r="H113" s="346"/>
      <c r="I113" s="99"/>
      <c r="J113" s="100"/>
    </row>
    <row r="114" spans="1:10" ht="13.5" customHeight="1" x14ac:dyDescent="0.25">
      <c r="A114" s="137" t="s">
        <v>88</v>
      </c>
      <c r="B114" s="339" t="s">
        <v>89</v>
      </c>
      <c r="C114" s="340"/>
      <c r="D114" s="340"/>
      <c r="E114" s="340"/>
      <c r="F114" s="340"/>
      <c r="G114" s="340"/>
      <c r="H114" s="340"/>
      <c r="I114" s="101"/>
      <c r="J114" s="102"/>
    </row>
    <row r="115" spans="1:10" ht="13.5" customHeight="1" x14ac:dyDescent="0.25">
      <c r="A115" s="103" t="s">
        <v>90</v>
      </c>
      <c r="B115" s="341" t="s">
        <v>91</v>
      </c>
      <c r="C115" s="341"/>
      <c r="D115" s="341"/>
      <c r="E115" s="341"/>
      <c r="F115" s="341"/>
      <c r="G115" s="341"/>
      <c r="H115" s="104">
        <v>2.6800000000000001E-3</v>
      </c>
      <c r="I115" s="97">
        <f>SUM($I$129,$I$110,$I$111)*H115/(1-$E$113)</f>
        <v>8.6967432803982589</v>
      </c>
      <c r="J115" s="98"/>
    </row>
    <row r="116" spans="1:10" ht="13.5" customHeight="1" x14ac:dyDescent="0.25">
      <c r="A116" s="103" t="s">
        <v>92</v>
      </c>
      <c r="B116" s="341" t="s">
        <v>93</v>
      </c>
      <c r="C116" s="341"/>
      <c r="D116" s="341"/>
      <c r="E116" s="341"/>
      <c r="F116" s="341"/>
      <c r="G116" s="341"/>
      <c r="H116" s="104">
        <v>1.238E-2</v>
      </c>
      <c r="I116" s="97">
        <f>SUM($I$129,$I$110,$I$111)*H116/(1-$E$113)</f>
        <v>40.173761869899423</v>
      </c>
      <c r="J116" s="98"/>
    </row>
    <row r="117" spans="1:10" ht="13.5" customHeight="1" x14ac:dyDescent="0.25">
      <c r="A117" s="137" t="s">
        <v>94</v>
      </c>
      <c r="B117" s="339" t="s">
        <v>95</v>
      </c>
      <c r="C117" s="340"/>
      <c r="D117" s="340"/>
      <c r="E117" s="340"/>
      <c r="F117" s="340"/>
      <c r="G117" s="340"/>
      <c r="H117" s="340"/>
      <c r="I117" s="101"/>
      <c r="J117" s="102"/>
    </row>
    <row r="118" spans="1:10" ht="13.5" customHeight="1" x14ac:dyDescent="0.25">
      <c r="A118" s="137" t="s">
        <v>96</v>
      </c>
      <c r="B118" s="339" t="s">
        <v>97</v>
      </c>
      <c r="C118" s="340"/>
      <c r="D118" s="340"/>
      <c r="E118" s="340"/>
      <c r="F118" s="340"/>
      <c r="G118" s="340"/>
      <c r="H118" s="340"/>
      <c r="I118" s="101"/>
      <c r="J118" s="102"/>
    </row>
    <row r="119" spans="1:10" ht="13.5" customHeight="1" x14ac:dyDescent="0.25">
      <c r="A119" s="103" t="s">
        <v>98</v>
      </c>
      <c r="B119" s="341" t="s">
        <v>99</v>
      </c>
      <c r="C119" s="341"/>
      <c r="D119" s="341"/>
      <c r="E119" s="341"/>
      <c r="F119" s="341"/>
      <c r="G119" s="341"/>
      <c r="H119" s="105">
        <v>0.05</v>
      </c>
      <c r="I119" s="97">
        <f>SUM($I$129,$I$110,$I$111)*H119/(1-$E$113)</f>
        <v>162.25267314175858</v>
      </c>
      <c r="J119" s="98"/>
    </row>
    <row r="120" spans="1:10" ht="13.5" customHeight="1" x14ac:dyDescent="0.25">
      <c r="A120" s="335" t="s">
        <v>100</v>
      </c>
      <c r="B120" s="335"/>
      <c r="C120" s="335"/>
      <c r="D120" s="335"/>
      <c r="E120" s="335"/>
      <c r="F120" s="335"/>
      <c r="G120" s="335"/>
      <c r="H120" s="335"/>
      <c r="I120" s="60">
        <f>SUM(I110:I119)</f>
        <v>294.40651615327869</v>
      </c>
      <c r="J120" s="61"/>
    </row>
    <row r="121" spans="1:10" x14ac:dyDescent="0.25">
      <c r="A121" s="89"/>
      <c r="B121" s="329"/>
      <c r="C121" s="329"/>
      <c r="D121" s="329"/>
      <c r="E121" s="329"/>
      <c r="F121" s="329"/>
      <c r="G121" s="330"/>
      <c r="H121" s="330"/>
      <c r="I121" s="72"/>
      <c r="J121" s="72"/>
    </row>
    <row r="122" spans="1:10" ht="13.5" customHeight="1" x14ac:dyDescent="0.25">
      <c r="A122" s="325" t="s">
        <v>101</v>
      </c>
      <c r="B122" s="325"/>
      <c r="C122" s="325"/>
      <c r="D122" s="325"/>
      <c r="E122" s="325"/>
      <c r="F122" s="325"/>
      <c r="G122" s="325"/>
      <c r="H122" s="325"/>
      <c r="I122" s="325"/>
      <c r="J122" s="106"/>
    </row>
    <row r="123" spans="1:10" ht="13.5" customHeight="1" x14ac:dyDescent="0.25">
      <c r="A123" s="142"/>
      <c r="B123" s="336" t="s">
        <v>102</v>
      </c>
      <c r="C123" s="337"/>
      <c r="D123" s="337"/>
      <c r="E123" s="337"/>
      <c r="F123" s="337"/>
      <c r="G123" s="337"/>
      <c r="H123" s="338"/>
      <c r="I123" s="142" t="s">
        <v>19</v>
      </c>
      <c r="J123" s="55"/>
    </row>
    <row r="124" spans="1:10" ht="13.5" customHeight="1" x14ac:dyDescent="0.25">
      <c r="A124" s="137" t="s">
        <v>2</v>
      </c>
      <c r="B124" s="333" t="s">
        <v>103</v>
      </c>
      <c r="C124" s="333"/>
      <c r="D124" s="333"/>
      <c r="E124" s="333"/>
      <c r="F124" s="333"/>
      <c r="G124" s="333"/>
      <c r="H124" s="333"/>
      <c r="I124" s="56">
        <f>I35</f>
        <v>1351.3619700000002</v>
      </c>
      <c r="J124" s="57"/>
    </row>
    <row r="125" spans="1:10" ht="13.5" customHeight="1" x14ac:dyDescent="0.25">
      <c r="A125" s="137" t="s">
        <v>4</v>
      </c>
      <c r="B125" s="333" t="s">
        <v>104</v>
      </c>
      <c r="C125" s="333"/>
      <c r="D125" s="333"/>
      <c r="E125" s="333"/>
      <c r="F125" s="333"/>
      <c r="G125" s="333"/>
      <c r="H125" s="333"/>
      <c r="I125" s="56">
        <f>I69</f>
        <v>1455.4035224430002</v>
      </c>
      <c r="J125" s="57"/>
    </row>
    <row r="126" spans="1:10" ht="13.5" customHeight="1" x14ac:dyDescent="0.25">
      <c r="A126" s="137" t="s">
        <v>6</v>
      </c>
      <c r="B126" s="333" t="s">
        <v>105</v>
      </c>
      <c r="C126" s="333"/>
      <c r="D126" s="333"/>
      <c r="E126" s="333"/>
      <c r="F126" s="333"/>
      <c r="G126" s="333"/>
      <c r="H126" s="333"/>
      <c r="I126" s="56">
        <f>I79</f>
        <v>47.422144402570005</v>
      </c>
      <c r="J126" s="57"/>
    </row>
    <row r="127" spans="1:10" ht="13.5" customHeight="1" x14ac:dyDescent="0.25">
      <c r="A127" s="137" t="s">
        <v>8</v>
      </c>
      <c r="B127" s="333" t="s">
        <v>106</v>
      </c>
      <c r="C127" s="333"/>
      <c r="D127" s="333"/>
      <c r="E127" s="333"/>
      <c r="F127" s="333"/>
      <c r="G127" s="333"/>
      <c r="H127" s="333"/>
      <c r="I127" s="56">
        <f>I98</f>
        <v>26.427663304125652</v>
      </c>
      <c r="J127" s="57"/>
    </row>
    <row r="128" spans="1:10" ht="13.5" customHeight="1" x14ac:dyDescent="0.25">
      <c r="A128" s="137" t="s">
        <v>24</v>
      </c>
      <c r="B128" s="333" t="s">
        <v>107</v>
      </c>
      <c r="C128" s="333"/>
      <c r="D128" s="333"/>
      <c r="E128" s="333"/>
      <c r="F128" s="333"/>
      <c r="G128" s="333"/>
      <c r="H128" s="333"/>
      <c r="I128" s="56">
        <f>I106</f>
        <v>70.03164653219622</v>
      </c>
      <c r="J128" s="57"/>
    </row>
    <row r="129" spans="1:12" ht="13.5" customHeight="1" x14ac:dyDescent="0.25">
      <c r="A129" s="328" t="s">
        <v>108</v>
      </c>
      <c r="B129" s="328"/>
      <c r="C129" s="328"/>
      <c r="D129" s="328"/>
      <c r="E129" s="328"/>
      <c r="F129" s="328"/>
      <c r="G129" s="328"/>
      <c r="H129" s="328"/>
      <c r="I129" s="107">
        <f>SUM(I124:I128)</f>
        <v>2950.6469466818926</v>
      </c>
      <c r="J129" s="108"/>
    </row>
    <row r="130" spans="1:12" ht="13.5" customHeight="1" x14ac:dyDescent="0.25">
      <c r="A130" s="137" t="s">
        <v>26</v>
      </c>
      <c r="B130" s="334" t="s">
        <v>109</v>
      </c>
      <c r="C130" s="334"/>
      <c r="D130" s="334"/>
      <c r="E130" s="334"/>
      <c r="F130" s="334"/>
      <c r="G130" s="334"/>
      <c r="H130" s="334"/>
      <c r="I130" s="56">
        <f>I120</f>
        <v>294.40651615327869</v>
      </c>
      <c r="J130" s="57"/>
    </row>
    <row r="131" spans="1:12" ht="13.5" customHeight="1" x14ac:dyDescent="0.25">
      <c r="A131" s="328" t="s">
        <v>110</v>
      </c>
      <c r="B131" s="328"/>
      <c r="C131" s="328"/>
      <c r="D131" s="328"/>
      <c r="E131" s="328"/>
      <c r="F131" s="328"/>
      <c r="G131" s="328"/>
      <c r="H131" s="328"/>
      <c r="I131" s="109">
        <f>TRUNC(SUM(I129:I130),2)</f>
        <v>3245.05</v>
      </c>
      <c r="J131" s="110"/>
      <c r="K131" s="35">
        <f>SUM(I35,I69,I79,I98,I106,I110,I111)/G113</f>
        <v>3245.0534628351716</v>
      </c>
    </row>
    <row r="132" spans="1:12" ht="13.5" customHeight="1" x14ac:dyDescent="0.25">
      <c r="A132" s="89"/>
      <c r="B132" s="329"/>
      <c r="C132" s="329"/>
      <c r="D132" s="329"/>
      <c r="E132" s="329"/>
      <c r="F132" s="329"/>
      <c r="G132" s="330"/>
      <c r="H132" s="330"/>
      <c r="I132" s="72"/>
      <c r="J132" s="72"/>
    </row>
    <row r="133" spans="1:12" ht="13.5" customHeight="1" x14ac:dyDescent="0.25">
      <c r="A133" s="325" t="s">
        <v>111</v>
      </c>
      <c r="B133" s="325"/>
      <c r="C133" s="325"/>
      <c r="D133" s="325"/>
      <c r="E133" s="325"/>
      <c r="F133" s="325"/>
      <c r="G133" s="325"/>
      <c r="H133" s="325"/>
      <c r="I133" s="325"/>
      <c r="J133" s="106"/>
    </row>
    <row r="134" spans="1:12" ht="36" x14ac:dyDescent="0.25">
      <c r="A134" s="331" t="s">
        <v>112</v>
      </c>
      <c r="B134" s="331"/>
      <c r="C134" s="331"/>
      <c r="D134" s="111" t="s">
        <v>113</v>
      </c>
      <c r="E134" s="138" t="s">
        <v>120</v>
      </c>
      <c r="F134" s="332" t="s">
        <v>121</v>
      </c>
      <c r="G134" s="332"/>
      <c r="H134" s="112" t="s">
        <v>114</v>
      </c>
      <c r="I134" s="113" t="s">
        <v>122</v>
      </c>
      <c r="J134" s="114"/>
    </row>
    <row r="135" spans="1:12" ht="21" customHeight="1" x14ac:dyDescent="0.25">
      <c r="A135" s="136" t="s">
        <v>115</v>
      </c>
      <c r="B135" s="323" t="str">
        <f>H23</f>
        <v>ATENDENTE</v>
      </c>
      <c r="C135" s="323"/>
      <c r="D135" s="115">
        <f>I131</f>
        <v>3245.05</v>
      </c>
      <c r="E135" s="136">
        <v>1</v>
      </c>
      <c r="F135" s="324">
        <f>(D135*E135)</f>
        <v>3245.05</v>
      </c>
      <c r="G135" s="324"/>
      <c r="H135" s="136">
        <f>H18</f>
        <v>1</v>
      </c>
      <c r="I135" s="143">
        <f>F135*H135</f>
        <v>3245.05</v>
      </c>
      <c r="J135" s="116"/>
    </row>
    <row r="136" spans="1:12" ht="13.5" customHeight="1" x14ac:dyDescent="0.25">
      <c r="A136" s="325" t="s">
        <v>116</v>
      </c>
      <c r="B136" s="325"/>
      <c r="C136" s="325"/>
      <c r="D136" s="325"/>
      <c r="E136" s="325"/>
      <c r="F136" s="325"/>
      <c r="G136" s="325"/>
      <c r="H136" s="325"/>
      <c r="I136" s="325"/>
      <c r="J136" s="106"/>
    </row>
    <row r="137" spans="1:12" ht="13.5" customHeight="1" x14ac:dyDescent="0.25">
      <c r="A137" s="136"/>
      <c r="B137" s="326" t="s">
        <v>117</v>
      </c>
      <c r="C137" s="326"/>
      <c r="D137" s="326"/>
      <c r="E137" s="326"/>
      <c r="F137" s="326"/>
      <c r="G137" s="326"/>
      <c r="H137" s="326"/>
      <c r="I137" s="117" t="s">
        <v>19</v>
      </c>
      <c r="J137" s="118"/>
    </row>
    <row r="138" spans="1:12" ht="13.5" customHeight="1" x14ac:dyDescent="0.25">
      <c r="A138" s="125" t="s">
        <v>2</v>
      </c>
      <c r="B138" s="327" t="s">
        <v>118</v>
      </c>
      <c r="C138" s="327"/>
      <c r="D138" s="327"/>
      <c r="E138" s="327"/>
      <c r="F138" s="327"/>
      <c r="G138" s="327"/>
      <c r="H138" s="327"/>
      <c r="I138" s="92">
        <f>F135</f>
        <v>3245.05</v>
      </c>
      <c r="J138" s="93"/>
      <c r="L138" s="35"/>
    </row>
    <row r="139" spans="1:12" ht="13.5" customHeight="1" x14ac:dyDescent="0.25">
      <c r="A139" s="136" t="s">
        <v>4</v>
      </c>
      <c r="B139" s="327" t="s">
        <v>119</v>
      </c>
      <c r="C139" s="327"/>
      <c r="D139" s="327"/>
      <c r="E139" s="327"/>
      <c r="F139" s="327"/>
      <c r="G139" s="327"/>
      <c r="H139" s="327"/>
      <c r="I139" s="92">
        <f>SUM(I138:I138)*H18</f>
        <v>3245.05</v>
      </c>
      <c r="J139" s="93"/>
      <c r="K139" s="122"/>
      <c r="L139" s="119"/>
    </row>
    <row r="140" spans="1:12" ht="13.5" customHeight="1" x14ac:dyDescent="0.25">
      <c r="A140" s="136" t="s">
        <v>6</v>
      </c>
      <c r="B140" s="323" t="s">
        <v>123</v>
      </c>
      <c r="C140" s="323"/>
      <c r="D140" s="323"/>
      <c r="E140" s="323"/>
      <c r="F140" s="323"/>
      <c r="G140" s="323"/>
      <c r="H140" s="323"/>
      <c r="I140" s="120">
        <f>(I139*12)</f>
        <v>38940.600000000006</v>
      </c>
      <c r="J140" s="121"/>
    </row>
    <row r="141" spans="1:12" x14ac:dyDescent="0.25">
      <c r="I141" s="124"/>
    </row>
  </sheetData>
  <sheetProtection formatCells="0" formatColumns="0" formatRows="0" insertColumns="0" insertRows="0" insertHyperlinks="0" deleteColumns="0" deleteRows="0" sort="0" autoFilter="0" pivotTables="0"/>
  <mergeCells count="169">
    <mergeCell ref="A7:I7"/>
    <mergeCell ref="A8:I8"/>
    <mergeCell ref="A9:I9"/>
    <mergeCell ref="A10:I10"/>
    <mergeCell ref="A11:I11"/>
    <mergeCell ref="B12:D12"/>
    <mergeCell ref="E12:I12"/>
    <mergeCell ref="A1:I1"/>
    <mergeCell ref="A2:I2"/>
    <mergeCell ref="A3:I3"/>
    <mergeCell ref="A4:I4"/>
    <mergeCell ref="A5:I5"/>
    <mergeCell ref="A6:I6"/>
    <mergeCell ref="A16:I16"/>
    <mergeCell ref="A17:E17"/>
    <mergeCell ref="F17:G17"/>
    <mergeCell ref="H17:I17"/>
    <mergeCell ref="A18:E18"/>
    <mergeCell ref="F18:G18"/>
    <mergeCell ref="H18:I18"/>
    <mergeCell ref="B13:D13"/>
    <mergeCell ref="E13:I13"/>
    <mergeCell ref="B14:D14"/>
    <mergeCell ref="E14:I14"/>
    <mergeCell ref="B15:D15"/>
    <mergeCell ref="E15:I15"/>
    <mergeCell ref="B23:G23"/>
    <mergeCell ref="H23:I23"/>
    <mergeCell ref="B24:G24"/>
    <mergeCell ref="H24:I24"/>
    <mergeCell ref="A25:I25"/>
    <mergeCell ref="A26:I26"/>
    <mergeCell ref="A19:I19"/>
    <mergeCell ref="B20:G20"/>
    <mergeCell ref="H20:I20"/>
    <mergeCell ref="B21:G21"/>
    <mergeCell ref="H21:I21"/>
    <mergeCell ref="B22:G22"/>
    <mergeCell ref="H22:I22"/>
    <mergeCell ref="B30:F30"/>
    <mergeCell ref="G30:H30"/>
    <mergeCell ref="B31:F31"/>
    <mergeCell ref="G31:H31"/>
    <mergeCell ref="B32:F32"/>
    <mergeCell ref="G32:H32"/>
    <mergeCell ref="B27:F27"/>
    <mergeCell ref="G27:H27"/>
    <mergeCell ref="B28:F28"/>
    <mergeCell ref="G28:H28"/>
    <mergeCell ref="B29:F29"/>
    <mergeCell ref="G29:H29"/>
    <mergeCell ref="A37:I37"/>
    <mergeCell ref="B38:G38"/>
    <mergeCell ref="B39:G39"/>
    <mergeCell ref="B40:G40"/>
    <mergeCell ref="B41:G41"/>
    <mergeCell ref="B43:G43"/>
    <mergeCell ref="B33:F33"/>
    <mergeCell ref="G33:H33"/>
    <mergeCell ref="B34:F34"/>
    <mergeCell ref="G34:H34"/>
    <mergeCell ref="A35:H35"/>
    <mergeCell ref="A36:I36"/>
    <mergeCell ref="B50:G50"/>
    <mergeCell ref="B51:G51"/>
    <mergeCell ref="A52:G52"/>
    <mergeCell ref="B54:G54"/>
    <mergeCell ref="B55:G55"/>
    <mergeCell ref="B56:G56"/>
    <mergeCell ref="B44:G44"/>
    <mergeCell ref="B45:G45"/>
    <mergeCell ref="B46:G46"/>
    <mergeCell ref="B47:G47"/>
    <mergeCell ref="B48:G48"/>
    <mergeCell ref="B49:G49"/>
    <mergeCell ref="A63:H63"/>
    <mergeCell ref="A65:I65"/>
    <mergeCell ref="B66:H66"/>
    <mergeCell ref="B67:H67"/>
    <mergeCell ref="B68:H68"/>
    <mergeCell ref="A69:H69"/>
    <mergeCell ref="B57:G57"/>
    <mergeCell ref="B58:G58"/>
    <mergeCell ref="B59:G59"/>
    <mergeCell ref="B60:G60"/>
    <mergeCell ref="B61:G61"/>
    <mergeCell ref="B62:G62"/>
    <mergeCell ref="B77:G77"/>
    <mergeCell ref="B78:G78"/>
    <mergeCell ref="A79:G79"/>
    <mergeCell ref="B80:F80"/>
    <mergeCell ref="G80:H80"/>
    <mergeCell ref="A81:I81"/>
    <mergeCell ref="A71:I71"/>
    <mergeCell ref="B72:G72"/>
    <mergeCell ref="B73:G73"/>
    <mergeCell ref="B74:G74"/>
    <mergeCell ref="B75:G75"/>
    <mergeCell ref="B76:G76"/>
    <mergeCell ref="B88:G88"/>
    <mergeCell ref="B89:G89"/>
    <mergeCell ref="B90:F90"/>
    <mergeCell ref="G90:H90"/>
    <mergeCell ref="B91:H91"/>
    <mergeCell ref="B92:H92"/>
    <mergeCell ref="B82:G82"/>
    <mergeCell ref="B83:G83"/>
    <mergeCell ref="B84:G84"/>
    <mergeCell ref="B85:G85"/>
    <mergeCell ref="B86:G86"/>
    <mergeCell ref="B87:G87"/>
    <mergeCell ref="A98:H98"/>
    <mergeCell ref="B99:F99"/>
    <mergeCell ref="G99:H99"/>
    <mergeCell ref="A100:I100"/>
    <mergeCell ref="B101:H101"/>
    <mergeCell ref="B102:H102"/>
    <mergeCell ref="B93:H93"/>
    <mergeCell ref="B94:F94"/>
    <mergeCell ref="G94:H94"/>
    <mergeCell ref="A95:I95"/>
    <mergeCell ref="B96:H96"/>
    <mergeCell ref="B97:H97"/>
    <mergeCell ref="A108:I108"/>
    <mergeCell ref="B109:G109"/>
    <mergeCell ref="B110:G110"/>
    <mergeCell ref="B111:G111"/>
    <mergeCell ref="B103:H103"/>
    <mergeCell ref="B104:H104"/>
    <mergeCell ref="B105:H105"/>
    <mergeCell ref="A106:H106"/>
    <mergeCell ref="A107:F107"/>
    <mergeCell ref="G107:H107"/>
    <mergeCell ref="B114:H114"/>
    <mergeCell ref="B115:G115"/>
    <mergeCell ref="B116:G116"/>
    <mergeCell ref="B117:H117"/>
    <mergeCell ref="B118:H118"/>
    <mergeCell ref="B119:G119"/>
    <mergeCell ref="B112:D112"/>
    <mergeCell ref="E112:H112"/>
    <mergeCell ref="B113:D113"/>
    <mergeCell ref="E113:F113"/>
    <mergeCell ref="G113:H113"/>
    <mergeCell ref="B125:H125"/>
    <mergeCell ref="B126:H126"/>
    <mergeCell ref="B127:H127"/>
    <mergeCell ref="B128:H128"/>
    <mergeCell ref="A129:H129"/>
    <mergeCell ref="B130:H130"/>
    <mergeCell ref="A120:H120"/>
    <mergeCell ref="B121:F121"/>
    <mergeCell ref="G121:H121"/>
    <mergeCell ref="A122:I122"/>
    <mergeCell ref="B123:H123"/>
    <mergeCell ref="B124:H124"/>
    <mergeCell ref="B140:H140"/>
    <mergeCell ref="B135:C135"/>
    <mergeCell ref="F135:G135"/>
    <mergeCell ref="A136:I136"/>
    <mergeCell ref="B137:H137"/>
    <mergeCell ref="B138:H138"/>
    <mergeCell ref="B139:H139"/>
    <mergeCell ref="A131:H131"/>
    <mergeCell ref="B132:F132"/>
    <mergeCell ref="G132:H132"/>
    <mergeCell ref="A133:I133"/>
    <mergeCell ref="A134:C134"/>
    <mergeCell ref="F134:G134"/>
  </mergeCells>
  <pageMargins left="0.6692913385826772" right="0.19685039370078741" top="0.78740157480314965" bottom="0.6692913385826772" header="0.11811023622047245" footer="0.11811023622047245"/>
  <pageSetup paperSize="9" scale="75" firstPageNumber="0" fitToHeight="0" orientation="portrait" r:id="rId1"/>
  <headerFooter alignWithMargins="0">
    <oddHeader>&amp;R&amp;G</oddHeader>
    <oddFooter>&amp;L&amp;G</oddFooter>
  </headerFooter>
  <rowBreaks count="1" manualBreakCount="1">
    <brk id="70" max="8" man="1"/>
  </row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141"/>
  <sheetViews>
    <sheetView view="pageBreakPreview" topLeftCell="D1" zoomScaleNormal="100" zoomScaleSheetLayoutView="100" workbookViewId="0">
      <selection activeCell="G95" sqref="G95"/>
    </sheetView>
  </sheetViews>
  <sheetFormatPr defaultRowHeight="15" x14ac:dyDescent="0.25"/>
  <cols>
    <col min="1" max="1" width="5.5703125" style="1" customWidth="1"/>
    <col min="2" max="3" width="19.42578125" style="1" customWidth="1"/>
    <col min="4" max="4" width="16.42578125" style="1" customWidth="1"/>
    <col min="5" max="5" width="12.42578125" style="1" customWidth="1"/>
    <col min="6" max="6" width="9.140625" style="1" customWidth="1"/>
    <col min="7" max="7" width="7.5703125" style="1" customWidth="1"/>
    <col min="8" max="8" width="12" style="1" customWidth="1"/>
    <col min="9" max="9" width="20.7109375" style="1" customWidth="1"/>
    <col min="10" max="10" width="2.5703125" style="1" customWidth="1"/>
    <col min="11" max="11" width="13" style="3" customWidth="1"/>
    <col min="12" max="12" width="12.5703125" style="3" customWidth="1"/>
    <col min="13" max="13" width="10.28515625" style="3" customWidth="1"/>
    <col min="14" max="16" width="8.7109375" style="3" customWidth="1"/>
    <col min="17" max="1025" width="8.7109375" style="1" customWidth="1"/>
    <col min="1026" max="16384" width="9.140625" style="1"/>
  </cols>
  <sheetData>
    <row r="1" spans="1:10" ht="15.75" x14ac:dyDescent="0.25">
      <c r="A1" s="302" t="s">
        <v>212</v>
      </c>
      <c r="B1" s="302"/>
      <c r="C1" s="302"/>
      <c r="D1" s="302"/>
      <c r="E1" s="302"/>
      <c r="F1" s="302"/>
      <c r="G1" s="302"/>
      <c r="H1" s="302"/>
      <c r="I1" s="302"/>
      <c r="J1" s="126"/>
    </row>
    <row r="2" spans="1:10" ht="15.75" x14ac:dyDescent="0.25">
      <c r="A2" s="302" t="s">
        <v>213</v>
      </c>
      <c r="B2" s="302"/>
      <c r="C2" s="302"/>
      <c r="D2" s="302"/>
      <c r="E2" s="302"/>
      <c r="F2" s="302"/>
      <c r="G2" s="302"/>
      <c r="H2" s="302"/>
      <c r="I2" s="302"/>
      <c r="J2" s="126"/>
    </row>
    <row r="3" spans="1:10" ht="15.75" x14ac:dyDescent="0.25">
      <c r="A3" s="302" t="s">
        <v>215</v>
      </c>
      <c r="B3" s="302"/>
      <c r="C3" s="302"/>
      <c r="D3" s="302"/>
      <c r="E3" s="302"/>
      <c r="F3" s="302"/>
      <c r="G3" s="302"/>
      <c r="H3" s="302"/>
      <c r="I3" s="302"/>
      <c r="J3" s="126"/>
    </row>
    <row r="4" spans="1:10" ht="15.75" x14ac:dyDescent="0.25">
      <c r="A4" s="302" t="s">
        <v>214</v>
      </c>
      <c r="B4" s="302"/>
      <c r="C4" s="302"/>
      <c r="D4" s="302"/>
      <c r="E4" s="302"/>
      <c r="F4" s="302"/>
      <c r="G4" s="302"/>
      <c r="H4" s="302"/>
      <c r="I4" s="302"/>
      <c r="J4" s="126"/>
    </row>
    <row r="5" spans="1:10" ht="15.75" x14ac:dyDescent="0.25">
      <c r="A5" s="396" t="s">
        <v>323</v>
      </c>
      <c r="B5" s="396"/>
      <c r="C5" s="396"/>
      <c r="D5" s="396"/>
      <c r="E5" s="396"/>
      <c r="F5" s="396"/>
      <c r="G5" s="396"/>
      <c r="H5" s="396"/>
      <c r="I5" s="396"/>
      <c r="J5" s="126"/>
    </row>
    <row r="6" spans="1:10" x14ac:dyDescent="0.25">
      <c r="A6" s="385"/>
      <c r="B6" s="385"/>
      <c r="C6" s="385"/>
      <c r="D6" s="385"/>
      <c r="E6" s="385"/>
      <c r="F6" s="385"/>
      <c r="G6" s="385"/>
      <c r="H6" s="385"/>
      <c r="I6" s="385"/>
      <c r="J6" s="139"/>
    </row>
    <row r="7" spans="1:10" ht="18.75" x14ac:dyDescent="0.25">
      <c r="A7" s="390" t="s">
        <v>0</v>
      </c>
      <c r="B7" s="390"/>
      <c r="C7" s="390"/>
      <c r="D7" s="390"/>
      <c r="E7" s="390"/>
      <c r="F7" s="390"/>
      <c r="G7" s="390"/>
      <c r="H7" s="390"/>
      <c r="I7" s="390"/>
      <c r="J7" s="140"/>
    </row>
    <row r="8" spans="1:10" x14ac:dyDescent="0.25">
      <c r="A8" s="385"/>
      <c r="B8" s="385"/>
      <c r="C8" s="385"/>
      <c r="D8" s="385"/>
      <c r="E8" s="385"/>
      <c r="F8" s="385"/>
      <c r="G8" s="385"/>
      <c r="H8" s="385"/>
      <c r="I8" s="385"/>
      <c r="J8" s="139"/>
    </row>
    <row r="9" spans="1:10" x14ac:dyDescent="0.25">
      <c r="A9" s="391" t="s">
        <v>272</v>
      </c>
      <c r="B9" s="391"/>
      <c r="C9" s="391"/>
      <c r="D9" s="391"/>
      <c r="E9" s="391"/>
      <c r="F9" s="391"/>
      <c r="G9" s="391"/>
      <c r="H9" s="391"/>
      <c r="I9" s="391"/>
      <c r="J9" s="37"/>
    </row>
    <row r="10" spans="1:10" ht="21.75" customHeight="1" thickBot="1" x14ac:dyDescent="0.3">
      <c r="A10" s="392" t="s">
        <v>0</v>
      </c>
      <c r="B10" s="392"/>
      <c r="C10" s="392"/>
      <c r="D10" s="392"/>
      <c r="E10" s="392"/>
      <c r="F10" s="392"/>
      <c r="G10" s="392"/>
      <c r="H10" s="392"/>
      <c r="I10" s="392"/>
      <c r="J10" s="44"/>
    </row>
    <row r="11" spans="1:10" ht="13.5" customHeight="1" x14ac:dyDescent="0.25">
      <c r="A11" s="393" t="s">
        <v>1</v>
      </c>
      <c r="B11" s="393"/>
      <c r="C11" s="393"/>
      <c r="D11" s="393"/>
      <c r="E11" s="393"/>
      <c r="F11" s="393"/>
      <c r="G11" s="393"/>
      <c r="H11" s="393"/>
      <c r="I11" s="393"/>
      <c r="J11" s="45"/>
    </row>
    <row r="12" spans="1:10" ht="13.5" customHeight="1" x14ac:dyDescent="0.25">
      <c r="A12" s="137" t="s">
        <v>2</v>
      </c>
      <c r="B12" s="349" t="s">
        <v>3</v>
      </c>
      <c r="C12" s="349"/>
      <c r="D12" s="349"/>
      <c r="E12" s="394">
        <f>MARCEN!E12</f>
        <v>45065</v>
      </c>
      <c r="F12" s="395"/>
      <c r="G12" s="395"/>
      <c r="H12" s="395"/>
      <c r="I12" s="395"/>
      <c r="J12" s="46"/>
    </row>
    <row r="13" spans="1:10" ht="13.5" customHeight="1" x14ac:dyDescent="0.25">
      <c r="A13" s="137" t="s">
        <v>4</v>
      </c>
      <c r="B13" s="387" t="s">
        <v>5</v>
      </c>
      <c r="C13" s="387"/>
      <c r="D13" s="387"/>
      <c r="E13" s="397" t="str">
        <f>MARCEN!E13</f>
        <v>Picos/PI</v>
      </c>
      <c r="F13" s="398"/>
      <c r="G13" s="398"/>
      <c r="H13" s="398"/>
      <c r="I13" s="398"/>
      <c r="J13" s="47"/>
    </row>
    <row r="14" spans="1:10" ht="13.5" customHeight="1" x14ac:dyDescent="0.25">
      <c r="A14" s="137" t="s">
        <v>6</v>
      </c>
      <c r="B14" s="387" t="s">
        <v>7</v>
      </c>
      <c r="C14" s="387"/>
      <c r="D14" s="387"/>
      <c r="E14" s="397" t="str">
        <f>MARCEN!E14</f>
        <v>PI000066/2023</v>
      </c>
      <c r="F14" s="398"/>
      <c r="G14" s="398"/>
      <c r="H14" s="398"/>
      <c r="I14" s="398"/>
      <c r="J14" s="48"/>
    </row>
    <row r="15" spans="1:10" ht="13.5" customHeight="1" x14ac:dyDescent="0.25">
      <c r="A15" s="137" t="s">
        <v>8</v>
      </c>
      <c r="B15" s="349" t="s">
        <v>9</v>
      </c>
      <c r="C15" s="349"/>
      <c r="D15" s="349"/>
      <c r="E15" s="342" t="s">
        <v>194</v>
      </c>
      <c r="F15" s="342"/>
      <c r="G15" s="342"/>
      <c r="H15" s="342"/>
      <c r="I15" s="342"/>
      <c r="J15" s="147"/>
    </row>
    <row r="16" spans="1:10" x14ac:dyDescent="0.25">
      <c r="A16" s="385"/>
      <c r="B16" s="385"/>
      <c r="C16" s="385"/>
      <c r="D16" s="385"/>
      <c r="E16" s="385"/>
      <c r="F16" s="385"/>
      <c r="G16" s="385"/>
      <c r="H16" s="385"/>
      <c r="I16" s="385"/>
      <c r="J16" s="139"/>
    </row>
    <row r="17" spans="1:16" ht="26.25" customHeight="1" x14ac:dyDescent="0.25">
      <c r="A17" s="335" t="s">
        <v>10</v>
      </c>
      <c r="B17" s="335"/>
      <c r="C17" s="335"/>
      <c r="D17" s="335"/>
      <c r="E17" s="335"/>
      <c r="F17" s="335" t="s">
        <v>11</v>
      </c>
      <c r="G17" s="335"/>
      <c r="H17" s="356" t="s">
        <v>207</v>
      </c>
      <c r="I17" s="356"/>
      <c r="J17" s="49"/>
      <c r="O17" s="30"/>
    </row>
    <row r="18" spans="1:16" x14ac:dyDescent="0.25">
      <c r="A18" s="342" t="str">
        <f>A9</f>
        <v>CONTINUO</v>
      </c>
      <c r="B18" s="342"/>
      <c r="C18" s="342"/>
      <c r="D18" s="342"/>
      <c r="E18" s="342"/>
      <c r="F18" s="342" t="s">
        <v>257</v>
      </c>
      <c r="G18" s="342"/>
      <c r="H18" s="386">
        <v>3</v>
      </c>
      <c r="I18" s="386"/>
      <c r="J18" s="50"/>
    </row>
    <row r="19" spans="1:16" x14ac:dyDescent="0.25">
      <c r="A19" s="356" t="s">
        <v>124</v>
      </c>
      <c r="B19" s="356"/>
      <c r="C19" s="356"/>
      <c r="D19" s="356"/>
      <c r="E19" s="356"/>
      <c r="F19" s="356"/>
      <c r="G19" s="356"/>
      <c r="H19" s="356"/>
      <c r="I19" s="356"/>
      <c r="J19" s="49"/>
    </row>
    <row r="20" spans="1:16" x14ac:dyDescent="0.25">
      <c r="A20" s="137">
        <v>1</v>
      </c>
      <c r="B20" s="349" t="s">
        <v>12</v>
      </c>
      <c r="C20" s="349"/>
      <c r="D20" s="349"/>
      <c r="E20" s="349"/>
      <c r="F20" s="349"/>
      <c r="G20" s="349"/>
      <c r="H20" s="379" t="s">
        <v>251</v>
      </c>
      <c r="I20" s="379"/>
      <c r="J20" s="147"/>
    </row>
    <row r="21" spans="1:16" x14ac:dyDescent="0.25">
      <c r="A21" s="137">
        <v>2</v>
      </c>
      <c r="B21" s="339" t="s">
        <v>216</v>
      </c>
      <c r="C21" s="340"/>
      <c r="D21" s="340"/>
      <c r="E21" s="340"/>
      <c r="F21" s="340"/>
      <c r="G21" s="380"/>
      <c r="H21" s="381" t="s">
        <v>273</v>
      </c>
      <c r="I21" s="382"/>
      <c r="J21" s="147"/>
    </row>
    <row r="22" spans="1:16" s="21" customFormat="1" ht="12.75" x14ac:dyDescent="0.2">
      <c r="A22" s="204">
        <v>3</v>
      </c>
      <c r="B22" s="383" t="s">
        <v>13</v>
      </c>
      <c r="C22" s="383"/>
      <c r="D22" s="383"/>
      <c r="E22" s="383"/>
      <c r="F22" s="383"/>
      <c r="G22" s="383"/>
      <c r="H22" s="384">
        <f>1243.84*107.43%</f>
        <v>1336.257312</v>
      </c>
      <c r="I22" s="384"/>
      <c r="J22" s="51"/>
    </row>
    <row r="23" spans="1:16" x14ac:dyDescent="0.25">
      <c r="A23" s="137">
        <v>4</v>
      </c>
      <c r="B23" s="349" t="s">
        <v>14</v>
      </c>
      <c r="C23" s="349"/>
      <c r="D23" s="349"/>
      <c r="E23" s="349"/>
      <c r="F23" s="349"/>
      <c r="G23" s="349"/>
      <c r="H23" s="374" t="str">
        <f>A9</f>
        <v>CONTINUO</v>
      </c>
      <c r="I23" s="374"/>
      <c r="J23" s="52"/>
      <c r="N23" s="4"/>
    </row>
    <row r="24" spans="1:16" x14ac:dyDescent="0.25">
      <c r="A24" s="137">
        <v>5</v>
      </c>
      <c r="B24" s="375" t="s">
        <v>15</v>
      </c>
      <c r="C24" s="375"/>
      <c r="D24" s="375"/>
      <c r="E24" s="375"/>
      <c r="F24" s="375"/>
      <c r="G24" s="375"/>
      <c r="H24" s="376">
        <v>44927</v>
      </c>
      <c r="I24" s="377"/>
      <c r="J24" s="53"/>
    </row>
    <row r="25" spans="1:16" x14ac:dyDescent="0.25">
      <c r="A25" s="378"/>
      <c r="B25" s="378"/>
      <c r="C25" s="378"/>
      <c r="D25" s="378"/>
      <c r="E25" s="378"/>
      <c r="F25" s="378"/>
      <c r="G25" s="378"/>
      <c r="H25" s="378"/>
      <c r="I25" s="378"/>
      <c r="J25" s="147"/>
    </row>
    <row r="26" spans="1:16" ht="13.5" customHeight="1" x14ac:dyDescent="0.25">
      <c r="A26" s="347" t="s">
        <v>16</v>
      </c>
      <c r="B26" s="347"/>
      <c r="C26" s="347"/>
      <c r="D26" s="347"/>
      <c r="E26" s="347"/>
      <c r="F26" s="347"/>
      <c r="G26" s="347"/>
      <c r="H26" s="347"/>
      <c r="I26" s="347"/>
      <c r="J26" s="54"/>
    </row>
    <row r="27" spans="1:16" ht="13.5" customHeight="1" x14ac:dyDescent="0.25">
      <c r="A27" s="142">
        <v>1</v>
      </c>
      <c r="B27" s="335" t="s">
        <v>17</v>
      </c>
      <c r="C27" s="335"/>
      <c r="D27" s="335"/>
      <c r="E27" s="335"/>
      <c r="F27" s="335"/>
      <c r="G27" s="335" t="s">
        <v>18</v>
      </c>
      <c r="H27" s="335"/>
      <c r="I27" s="142" t="s">
        <v>19</v>
      </c>
      <c r="J27" s="55"/>
    </row>
    <row r="28" spans="1:16" s="223" customFormat="1" ht="13.5" customHeight="1" x14ac:dyDescent="0.25">
      <c r="A28" s="219" t="s">
        <v>2</v>
      </c>
      <c r="B28" s="372" t="s">
        <v>20</v>
      </c>
      <c r="C28" s="372"/>
      <c r="D28" s="372"/>
      <c r="E28" s="372"/>
      <c r="F28" s="372"/>
      <c r="G28" s="373">
        <v>1</v>
      </c>
      <c r="H28" s="373"/>
      <c r="I28" s="220">
        <f>H22</f>
        <v>1336.257312</v>
      </c>
      <c r="J28" s="221"/>
      <c r="K28" s="222"/>
      <c r="L28" s="222"/>
      <c r="M28" s="222"/>
      <c r="N28" s="222"/>
      <c r="O28" s="222"/>
      <c r="P28" s="222"/>
    </row>
    <row r="29" spans="1:16" ht="13.5" customHeight="1" x14ac:dyDescent="0.25">
      <c r="A29" s="137" t="s">
        <v>4</v>
      </c>
      <c r="B29" s="357" t="s">
        <v>21</v>
      </c>
      <c r="C29" s="357"/>
      <c r="D29" s="357"/>
      <c r="E29" s="357"/>
      <c r="F29" s="357"/>
      <c r="G29" s="370">
        <v>0</v>
      </c>
      <c r="H29" s="370"/>
      <c r="I29" s="58">
        <f>(I28*G29)</f>
        <v>0</v>
      </c>
      <c r="J29" s="59"/>
    </row>
    <row r="30" spans="1:16" ht="13.5" customHeight="1" x14ac:dyDescent="0.25">
      <c r="A30" s="137" t="s">
        <v>6</v>
      </c>
      <c r="B30" s="357" t="s">
        <v>22</v>
      </c>
      <c r="C30" s="357"/>
      <c r="D30" s="357"/>
      <c r="E30" s="357"/>
      <c r="F30" s="357"/>
      <c r="G30" s="370">
        <v>0</v>
      </c>
      <c r="H30" s="370"/>
      <c r="I30" s="56">
        <f>(I28*G30)</f>
        <v>0</v>
      </c>
      <c r="J30" s="57"/>
    </row>
    <row r="31" spans="1:16" ht="13.5" customHeight="1" x14ac:dyDescent="0.25">
      <c r="A31" s="137" t="s">
        <v>8</v>
      </c>
      <c r="B31" s="357" t="s">
        <v>23</v>
      </c>
      <c r="C31" s="357"/>
      <c r="D31" s="357"/>
      <c r="E31" s="357"/>
      <c r="F31" s="357"/>
      <c r="G31" s="370">
        <v>0</v>
      </c>
      <c r="H31" s="370"/>
      <c r="I31" s="56">
        <v>0</v>
      </c>
      <c r="J31" s="57"/>
    </row>
    <row r="32" spans="1:16" ht="13.5" customHeight="1" x14ac:dyDescent="0.25">
      <c r="A32" s="137" t="s">
        <v>24</v>
      </c>
      <c r="B32" s="357" t="s">
        <v>25</v>
      </c>
      <c r="C32" s="357"/>
      <c r="D32" s="357"/>
      <c r="E32" s="357"/>
      <c r="F32" s="357"/>
      <c r="G32" s="370">
        <v>0</v>
      </c>
      <c r="H32" s="370"/>
      <c r="I32" s="56">
        <v>0</v>
      </c>
      <c r="J32" s="57"/>
    </row>
    <row r="33" spans="1:16" ht="13.5" customHeight="1" x14ac:dyDescent="0.25">
      <c r="A33" s="137" t="s">
        <v>26</v>
      </c>
      <c r="B33" s="357" t="s">
        <v>27</v>
      </c>
      <c r="C33" s="357"/>
      <c r="D33" s="357"/>
      <c r="E33" s="357"/>
      <c r="F33" s="357"/>
      <c r="G33" s="370">
        <v>0</v>
      </c>
      <c r="H33" s="370"/>
      <c r="I33" s="56">
        <v>0</v>
      </c>
      <c r="J33" s="57"/>
    </row>
    <row r="34" spans="1:16" ht="13.5" customHeight="1" x14ac:dyDescent="0.25">
      <c r="A34" s="137" t="s">
        <v>28</v>
      </c>
      <c r="B34" s="349" t="s">
        <v>29</v>
      </c>
      <c r="C34" s="349"/>
      <c r="D34" s="349"/>
      <c r="E34" s="349"/>
      <c r="F34" s="349"/>
      <c r="G34" s="370">
        <v>0</v>
      </c>
      <c r="H34" s="370"/>
      <c r="I34" s="56">
        <v>0</v>
      </c>
      <c r="J34" s="57"/>
    </row>
    <row r="35" spans="1:16" ht="13.5" customHeight="1" x14ac:dyDescent="0.25">
      <c r="A35" s="335" t="s">
        <v>30</v>
      </c>
      <c r="B35" s="335"/>
      <c r="C35" s="335"/>
      <c r="D35" s="335"/>
      <c r="E35" s="335"/>
      <c r="F35" s="335"/>
      <c r="G35" s="335"/>
      <c r="H35" s="335"/>
      <c r="I35" s="60">
        <f>SUM(I28:I34)</f>
        <v>1336.257312</v>
      </c>
      <c r="J35" s="61"/>
    </row>
    <row r="36" spans="1:16" x14ac:dyDescent="0.25">
      <c r="A36" s="371"/>
      <c r="B36" s="371"/>
      <c r="C36" s="371"/>
      <c r="D36" s="371"/>
      <c r="E36" s="371"/>
      <c r="F36" s="371"/>
      <c r="G36" s="371"/>
      <c r="H36" s="371"/>
      <c r="I36" s="371"/>
      <c r="J36" s="149"/>
    </row>
    <row r="37" spans="1:16" ht="13.5" customHeight="1" x14ac:dyDescent="0.25">
      <c r="A37" s="347" t="s">
        <v>127</v>
      </c>
      <c r="B37" s="347"/>
      <c r="C37" s="347"/>
      <c r="D37" s="347"/>
      <c r="E37" s="347"/>
      <c r="F37" s="347"/>
      <c r="G37" s="347"/>
      <c r="H37" s="347"/>
      <c r="I37" s="347"/>
      <c r="J37" s="54"/>
    </row>
    <row r="38" spans="1:16" ht="13.5" customHeight="1" x14ac:dyDescent="0.25">
      <c r="A38" s="142" t="s">
        <v>31</v>
      </c>
      <c r="B38" s="359" t="s">
        <v>32</v>
      </c>
      <c r="C38" s="359"/>
      <c r="D38" s="359"/>
      <c r="E38" s="359"/>
      <c r="F38" s="359"/>
      <c r="G38" s="359"/>
      <c r="H38" s="142" t="s">
        <v>18</v>
      </c>
      <c r="I38" s="142" t="s">
        <v>19</v>
      </c>
      <c r="J38" s="55"/>
    </row>
    <row r="39" spans="1:16" ht="13.5" customHeight="1" x14ac:dyDescent="0.25">
      <c r="A39" s="137" t="s">
        <v>2</v>
      </c>
      <c r="B39" s="358" t="s">
        <v>33</v>
      </c>
      <c r="C39" s="358"/>
      <c r="D39" s="358"/>
      <c r="E39" s="358"/>
      <c r="F39" s="358"/>
      <c r="G39" s="358"/>
      <c r="H39" s="148">
        <f>(1/12)*1</f>
        <v>8.3333333333333329E-2</v>
      </c>
      <c r="I39" s="56">
        <f>$I$35*H39</f>
        <v>111.35477599999999</v>
      </c>
      <c r="J39" s="57"/>
    </row>
    <row r="40" spans="1:16" ht="13.5" customHeight="1" x14ac:dyDescent="0.25">
      <c r="A40" s="137" t="s">
        <v>4</v>
      </c>
      <c r="B40" s="358" t="s">
        <v>34</v>
      </c>
      <c r="C40" s="358"/>
      <c r="D40" s="358"/>
      <c r="E40" s="358"/>
      <c r="F40" s="358"/>
      <c r="G40" s="358"/>
      <c r="H40" s="148">
        <f>((1+1/3)/12)*1</f>
        <v>0.1111111111111111</v>
      </c>
      <c r="I40" s="56">
        <f>$I$35*H40</f>
        <v>148.47303466666665</v>
      </c>
      <c r="J40" s="57"/>
    </row>
    <row r="41" spans="1:16" ht="13.5" customHeight="1" x14ac:dyDescent="0.25">
      <c r="A41" s="62"/>
      <c r="B41" s="335" t="s">
        <v>35</v>
      </c>
      <c r="C41" s="335"/>
      <c r="D41" s="335"/>
      <c r="E41" s="335"/>
      <c r="F41" s="335"/>
      <c r="G41" s="335"/>
      <c r="H41" s="63">
        <f>SUM(H39:H40)</f>
        <v>0.19444444444444442</v>
      </c>
      <c r="I41" s="64">
        <f>SUM(I39:I40)</f>
        <v>259.82781066666666</v>
      </c>
      <c r="J41" s="65"/>
      <c r="K41" s="31">
        <f>H52*H41</f>
        <v>6.9766666666666671E-2</v>
      </c>
    </row>
    <row r="42" spans="1:16" ht="9.75" customHeight="1" x14ac:dyDescent="0.25">
      <c r="A42" s="141"/>
      <c r="B42" s="141"/>
      <c r="C42" s="141"/>
      <c r="D42" s="141"/>
      <c r="E42" s="141"/>
      <c r="F42" s="141"/>
      <c r="G42" s="141"/>
      <c r="H42" s="141"/>
      <c r="I42" s="66"/>
      <c r="J42" s="66"/>
    </row>
    <row r="43" spans="1:16" ht="13.5" customHeight="1" x14ac:dyDescent="0.25">
      <c r="A43" s="142" t="s">
        <v>36</v>
      </c>
      <c r="B43" s="359" t="s">
        <v>37</v>
      </c>
      <c r="C43" s="359"/>
      <c r="D43" s="359"/>
      <c r="E43" s="359"/>
      <c r="F43" s="359"/>
      <c r="G43" s="359"/>
      <c r="H43" s="142" t="s">
        <v>18</v>
      </c>
      <c r="I43" s="142" t="s">
        <v>19</v>
      </c>
      <c r="J43" s="55"/>
    </row>
    <row r="44" spans="1:16" ht="13.5" customHeight="1" x14ac:dyDescent="0.25">
      <c r="A44" s="137" t="s">
        <v>2</v>
      </c>
      <c r="B44" s="358" t="s">
        <v>38</v>
      </c>
      <c r="C44" s="358"/>
      <c r="D44" s="358"/>
      <c r="E44" s="358"/>
      <c r="F44" s="358"/>
      <c r="G44" s="358"/>
      <c r="H44" s="128">
        <v>0.2</v>
      </c>
      <c r="I44" s="56">
        <f>SUM($I$35,$I$41)*H44</f>
        <v>319.21702453333336</v>
      </c>
      <c r="J44" s="57"/>
    </row>
    <row r="45" spans="1:16" ht="13.5" customHeight="1" x14ac:dyDescent="0.25">
      <c r="A45" s="137" t="s">
        <v>4</v>
      </c>
      <c r="B45" s="358" t="s">
        <v>39</v>
      </c>
      <c r="C45" s="358"/>
      <c r="D45" s="358"/>
      <c r="E45" s="358"/>
      <c r="F45" s="358"/>
      <c r="G45" s="358"/>
      <c r="H45" s="67">
        <v>2.5000000000000001E-2</v>
      </c>
      <c r="I45" s="56">
        <f t="shared" ref="I45:I51" si="0">SUM($I$35,$I$41)*H45</f>
        <v>39.90212806666667</v>
      </c>
      <c r="J45" s="57"/>
    </row>
    <row r="46" spans="1:16" s="83" customFormat="1" ht="13.5" customHeight="1" x14ac:dyDescent="0.25">
      <c r="A46" s="205" t="s">
        <v>6</v>
      </c>
      <c r="B46" s="364" t="s">
        <v>40</v>
      </c>
      <c r="C46" s="364"/>
      <c r="D46" s="364"/>
      <c r="E46" s="364"/>
      <c r="F46" s="364"/>
      <c r="G46" s="364"/>
      <c r="H46" s="207">
        <v>2.0799999999999999E-2</v>
      </c>
      <c r="I46" s="81">
        <f t="shared" si="0"/>
        <v>33.198570551466666</v>
      </c>
      <c r="J46" s="82"/>
      <c r="K46" s="21"/>
      <c r="L46" s="21"/>
      <c r="M46" s="21"/>
      <c r="N46" s="21"/>
      <c r="O46" s="21"/>
      <c r="P46" s="21"/>
    </row>
    <row r="47" spans="1:16" ht="13.5" customHeight="1" x14ac:dyDescent="0.25">
      <c r="A47" s="137" t="s">
        <v>8</v>
      </c>
      <c r="B47" s="358" t="s">
        <v>41</v>
      </c>
      <c r="C47" s="358"/>
      <c r="D47" s="358"/>
      <c r="E47" s="358"/>
      <c r="F47" s="358"/>
      <c r="G47" s="358"/>
      <c r="H47" s="68">
        <v>1.4999999999999999E-2</v>
      </c>
      <c r="I47" s="56">
        <f t="shared" si="0"/>
        <v>23.941276839999997</v>
      </c>
      <c r="J47" s="57"/>
    </row>
    <row r="48" spans="1:16" ht="13.5" customHeight="1" x14ac:dyDescent="0.25">
      <c r="A48" s="137" t="s">
        <v>24</v>
      </c>
      <c r="B48" s="358" t="s">
        <v>42</v>
      </c>
      <c r="C48" s="358"/>
      <c r="D48" s="358"/>
      <c r="E48" s="358"/>
      <c r="F48" s="358"/>
      <c r="G48" s="358"/>
      <c r="H48" s="68">
        <v>0.01</v>
      </c>
      <c r="I48" s="56">
        <f t="shared" si="0"/>
        <v>15.960851226666666</v>
      </c>
      <c r="J48" s="57"/>
    </row>
    <row r="49" spans="1:16" ht="13.5" customHeight="1" x14ac:dyDescent="0.25">
      <c r="A49" s="137" t="s">
        <v>26</v>
      </c>
      <c r="B49" s="358" t="s">
        <v>43</v>
      </c>
      <c r="C49" s="358"/>
      <c r="D49" s="358"/>
      <c r="E49" s="358"/>
      <c r="F49" s="358"/>
      <c r="G49" s="358"/>
      <c r="H49" s="68">
        <v>6.0000000000000001E-3</v>
      </c>
      <c r="I49" s="56">
        <f t="shared" si="0"/>
        <v>9.5765107359999995</v>
      </c>
      <c r="J49" s="57"/>
    </row>
    <row r="50" spans="1:16" ht="13.5" customHeight="1" x14ac:dyDescent="0.25">
      <c r="A50" s="137" t="s">
        <v>28</v>
      </c>
      <c r="B50" s="358" t="s">
        <v>44</v>
      </c>
      <c r="C50" s="358"/>
      <c r="D50" s="358"/>
      <c r="E50" s="358"/>
      <c r="F50" s="358"/>
      <c r="G50" s="358"/>
      <c r="H50" s="68">
        <v>2E-3</v>
      </c>
      <c r="I50" s="56">
        <f t="shared" si="0"/>
        <v>3.1921702453333332</v>
      </c>
      <c r="J50" s="57"/>
    </row>
    <row r="51" spans="1:16" ht="13.5" customHeight="1" x14ac:dyDescent="0.25">
      <c r="A51" s="137" t="s">
        <v>45</v>
      </c>
      <c r="B51" s="358" t="s">
        <v>46</v>
      </c>
      <c r="C51" s="358"/>
      <c r="D51" s="358"/>
      <c r="E51" s="358"/>
      <c r="F51" s="358"/>
      <c r="G51" s="358"/>
      <c r="H51" s="68">
        <v>0.08</v>
      </c>
      <c r="I51" s="56">
        <f t="shared" si="0"/>
        <v>127.68680981333333</v>
      </c>
      <c r="J51" s="57"/>
    </row>
    <row r="52" spans="1:16" ht="13.5" customHeight="1" x14ac:dyDescent="0.25">
      <c r="A52" s="336" t="s">
        <v>47</v>
      </c>
      <c r="B52" s="337"/>
      <c r="C52" s="337"/>
      <c r="D52" s="337"/>
      <c r="E52" s="337"/>
      <c r="F52" s="337"/>
      <c r="G52" s="338"/>
      <c r="H52" s="63">
        <f>SUM(H44:H51)</f>
        <v>0.35880000000000006</v>
      </c>
      <c r="I52" s="69">
        <f>SUM(I44:I51)</f>
        <v>572.6753420128</v>
      </c>
      <c r="J52" s="70"/>
    </row>
    <row r="53" spans="1:16" ht="10.5" customHeight="1" x14ac:dyDescent="0.25">
      <c r="A53" s="141"/>
      <c r="B53" s="141"/>
      <c r="C53" s="141"/>
      <c r="D53" s="141"/>
      <c r="E53" s="141"/>
      <c r="F53" s="141"/>
      <c r="G53" s="141"/>
      <c r="H53" s="141"/>
      <c r="I53" s="71"/>
      <c r="J53" s="71"/>
    </row>
    <row r="54" spans="1:16" ht="13.5" customHeight="1" x14ac:dyDescent="0.25">
      <c r="A54" s="142" t="s">
        <v>48</v>
      </c>
      <c r="B54" s="359" t="s">
        <v>49</v>
      </c>
      <c r="C54" s="359"/>
      <c r="D54" s="359"/>
      <c r="E54" s="359"/>
      <c r="F54" s="359"/>
      <c r="G54" s="359"/>
      <c r="H54" s="142" t="s">
        <v>50</v>
      </c>
      <c r="I54" s="142" t="s">
        <v>19</v>
      </c>
      <c r="J54" s="55"/>
    </row>
    <row r="55" spans="1:16" s="223" customFormat="1" ht="13.5" customHeight="1" x14ac:dyDescent="0.25">
      <c r="A55" s="219" t="s">
        <v>2</v>
      </c>
      <c r="B55" s="367" t="s">
        <v>324</v>
      </c>
      <c r="C55" s="367"/>
      <c r="D55" s="367"/>
      <c r="E55" s="367"/>
      <c r="F55" s="367"/>
      <c r="G55" s="367"/>
      <c r="H55" s="225">
        <v>5</v>
      </c>
      <c r="I55" s="226">
        <f>(H55*2*22)-(I28*6%)</f>
        <v>139.82456128000001</v>
      </c>
      <c r="J55" s="227"/>
      <c r="K55" s="224"/>
      <c r="L55" s="222"/>
      <c r="M55" s="222"/>
      <c r="N55" s="222"/>
      <c r="O55" s="222"/>
      <c r="P55" s="222"/>
    </row>
    <row r="56" spans="1:16" s="223" customFormat="1" ht="13.5" customHeight="1" x14ac:dyDescent="0.25">
      <c r="A56" s="219" t="s">
        <v>4</v>
      </c>
      <c r="B56" s="367" t="s">
        <v>322</v>
      </c>
      <c r="C56" s="367"/>
      <c r="D56" s="367"/>
      <c r="E56" s="367"/>
      <c r="F56" s="367"/>
      <c r="G56" s="367"/>
      <c r="H56" s="225">
        <v>412.05</v>
      </c>
      <c r="I56" s="220">
        <f>H56</f>
        <v>412.05</v>
      </c>
      <c r="J56" s="221"/>
      <c r="K56" s="222"/>
      <c r="L56" s="222"/>
      <c r="M56" s="222"/>
      <c r="N56" s="222"/>
      <c r="O56" s="222"/>
      <c r="P56" s="222"/>
    </row>
    <row r="57" spans="1:16" ht="13.5" customHeight="1" x14ac:dyDescent="0.25">
      <c r="A57" s="137" t="s">
        <v>6</v>
      </c>
      <c r="B57" s="369" t="s">
        <v>310</v>
      </c>
      <c r="C57" s="369"/>
      <c r="D57" s="369"/>
      <c r="E57" s="369"/>
      <c r="F57" s="369"/>
      <c r="G57" s="369"/>
      <c r="H57" s="73">
        <v>141.68</v>
      </c>
      <c r="I57" s="177">
        <f>(H57*40%)</f>
        <v>56.672000000000004</v>
      </c>
      <c r="J57" s="57"/>
      <c r="K57" s="166"/>
    </row>
    <row r="58" spans="1:16" ht="13.5" customHeight="1" x14ac:dyDescent="0.25">
      <c r="A58" s="136" t="s">
        <v>8</v>
      </c>
      <c r="B58" s="368" t="s">
        <v>252</v>
      </c>
      <c r="C58" s="368"/>
      <c r="D58" s="368"/>
      <c r="E58" s="368"/>
      <c r="F58" s="368"/>
      <c r="G58" s="368"/>
      <c r="H58" s="73">
        <f>I35</f>
        <v>1336.257312</v>
      </c>
      <c r="I58" s="74">
        <f>(H58*26)*0.002/12</f>
        <v>5.7904483519999994</v>
      </c>
      <c r="J58" s="72"/>
    </row>
    <row r="59" spans="1:16" ht="13.5" customHeight="1" x14ac:dyDescent="0.25">
      <c r="A59" s="137" t="s">
        <v>24</v>
      </c>
      <c r="B59" s="358" t="s">
        <v>203</v>
      </c>
      <c r="C59" s="358"/>
      <c r="D59" s="358"/>
      <c r="E59" s="358"/>
      <c r="F59" s="358"/>
      <c r="G59" s="358"/>
      <c r="H59" s="73">
        <v>0</v>
      </c>
      <c r="I59" s="74">
        <f>(H59*6*0.02)/12</f>
        <v>0</v>
      </c>
      <c r="J59" s="72"/>
    </row>
    <row r="60" spans="1:16" ht="13.5" customHeight="1" x14ac:dyDescent="0.25">
      <c r="A60" s="137" t="s">
        <v>26</v>
      </c>
      <c r="B60" s="369" t="s">
        <v>202</v>
      </c>
      <c r="C60" s="369"/>
      <c r="D60" s="369"/>
      <c r="E60" s="369"/>
      <c r="F60" s="369"/>
      <c r="G60" s="369"/>
      <c r="H60" s="75">
        <v>0</v>
      </c>
      <c r="I60" s="76">
        <f>H60</f>
        <v>0</v>
      </c>
      <c r="J60" s="77"/>
    </row>
    <row r="61" spans="1:16" ht="13.5" customHeight="1" x14ac:dyDescent="0.25">
      <c r="A61" s="137" t="s">
        <v>28</v>
      </c>
      <c r="B61" s="358" t="s">
        <v>51</v>
      </c>
      <c r="C61" s="358"/>
      <c r="D61" s="358"/>
      <c r="E61" s="358"/>
      <c r="F61" s="358"/>
      <c r="G61" s="358"/>
      <c r="H61" s="73">
        <v>0</v>
      </c>
      <c r="I61" s="56">
        <f>H61</f>
        <v>0</v>
      </c>
      <c r="J61" s="57"/>
    </row>
    <row r="62" spans="1:16" s="78" customFormat="1" ht="13.5" customHeight="1" x14ac:dyDescent="0.25">
      <c r="A62" s="146" t="s">
        <v>45</v>
      </c>
      <c r="B62" s="369" t="s">
        <v>209</v>
      </c>
      <c r="C62" s="369"/>
      <c r="D62" s="369"/>
      <c r="E62" s="369"/>
      <c r="F62" s="369"/>
      <c r="G62" s="369"/>
      <c r="H62" s="75">
        <v>0</v>
      </c>
      <c r="I62" s="76">
        <f>H62</f>
        <v>0</v>
      </c>
      <c r="J62" s="77"/>
      <c r="K62" s="32"/>
      <c r="L62" s="32"/>
      <c r="M62" s="32"/>
      <c r="N62" s="32"/>
      <c r="O62" s="32"/>
      <c r="P62" s="32"/>
    </row>
    <row r="63" spans="1:16" ht="13.5" customHeight="1" x14ac:dyDescent="0.25">
      <c r="A63" s="336" t="s">
        <v>52</v>
      </c>
      <c r="B63" s="337"/>
      <c r="C63" s="337"/>
      <c r="D63" s="337"/>
      <c r="E63" s="337"/>
      <c r="F63" s="337"/>
      <c r="G63" s="337"/>
      <c r="H63" s="338"/>
      <c r="I63" s="69">
        <f>TRUNC(SUM(I55:I62),2)</f>
        <v>614.33000000000004</v>
      </c>
      <c r="J63" s="70"/>
    </row>
    <row r="64" spans="1:16" ht="12" customHeight="1" x14ac:dyDescent="0.25">
      <c r="A64" s="141"/>
      <c r="B64" s="141"/>
      <c r="C64" s="141"/>
      <c r="D64" s="141"/>
      <c r="E64" s="141"/>
      <c r="F64" s="141"/>
      <c r="G64" s="141"/>
      <c r="H64" s="141"/>
      <c r="I64" s="71"/>
      <c r="J64" s="71"/>
    </row>
    <row r="65" spans="1:16" ht="13.5" customHeight="1" x14ac:dyDescent="0.25">
      <c r="A65" s="335" t="s">
        <v>53</v>
      </c>
      <c r="B65" s="335"/>
      <c r="C65" s="335"/>
      <c r="D65" s="335"/>
      <c r="E65" s="335"/>
      <c r="F65" s="335"/>
      <c r="G65" s="335"/>
      <c r="H65" s="335"/>
      <c r="I65" s="335"/>
      <c r="J65" s="55"/>
    </row>
    <row r="66" spans="1:16" ht="13.5" customHeight="1" x14ac:dyDescent="0.25">
      <c r="A66" s="79" t="s">
        <v>31</v>
      </c>
      <c r="B66" s="368" t="s">
        <v>54</v>
      </c>
      <c r="C66" s="368"/>
      <c r="D66" s="368"/>
      <c r="E66" s="368"/>
      <c r="F66" s="368"/>
      <c r="G66" s="368"/>
      <c r="H66" s="368"/>
      <c r="I66" s="56">
        <f>I41</f>
        <v>259.82781066666666</v>
      </c>
      <c r="J66" s="57"/>
    </row>
    <row r="67" spans="1:16" ht="13.5" customHeight="1" x14ac:dyDescent="0.25">
      <c r="A67" s="79" t="s">
        <v>36</v>
      </c>
      <c r="B67" s="358" t="s">
        <v>55</v>
      </c>
      <c r="C67" s="358"/>
      <c r="D67" s="358"/>
      <c r="E67" s="358"/>
      <c r="F67" s="358"/>
      <c r="G67" s="358"/>
      <c r="H67" s="358"/>
      <c r="I67" s="56">
        <f>I52</f>
        <v>572.6753420128</v>
      </c>
      <c r="J67" s="57"/>
    </row>
    <row r="68" spans="1:16" ht="13.5" customHeight="1" x14ac:dyDescent="0.25">
      <c r="A68" s="79" t="s">
        <v>48</v>
      </c>
      <c r="B68" s="358" t="s">
        <v>56</v>
      </c>
      <c r="C68" s="358"/>
      <c r="D68" s="358"/>
      <c r="E68" s="358"/>
      <c r="F68" s="358"/>
      <c r="G68" s="358"/>
      <c r="H68" s="358"/>
      <c r="I68" s="56">
        <f>I63</f>
        <v>614.33000000000004</v>
      </c>
      <c r="J68" s="57"/>
    </row>
    <row r="69" spans="1:16" ht="13.5" customHeight="1" x14ac:dyDescent="0.25">
      <c r="A69" s="335" t="s">
        <v>57</v>
      </c>
      <c r="B69" s="335"/>
      <c r="C69" s="335"/>
      <c r="D69" s="335"/>
      <c r="E69" s="335"/>
      <c r="F69" s="335"/>
      <c r="G69" s="335"/>
      <c r="H69" s="335"/>
      <c r="I69" s="60">
        <f>SUM(I66:I68)</f>
        <v>1446.8331526794668</v>
      </c>
      <c r="J69" s="61"/>
    </row>
    <row r="70" spans="1:16" x14ac:dyDescent="0.25">
      <c r="A70" s="141"/>
      <c r="B70" s="141"/>
      <c r="C70" s="141"/>
      <c r="D70" s="141"/>
      <c r="E70" s="141"/>
      <c r="F70" s="141"/>
      <c r="G70" s="141"/>
      <c r="H70" s="141"/>
      <c r="I70" s="71"/>
      <c r="J70" s="71"/>
    </row>
    <row r="71" spans="1:16" ht="13.5" customHeight="1" x14ac:dyDescent="0.25">
      <c r="A71" s="347" t="s">
        <v>125</v>
      </c>
      <c r="B71" s="347"/>
      <c r="C71" s="347"/>
      <c r="D71" s="347"/>
      <c r="E71" s="347"/>
      <c r="F71" s="347"/>
      <c r="G71" s="347"/>
      <c r="H71" s="347"/>
      <c r="I71" s="347"/>
      <c r="J71" s="54"/>
    </row>
    <row r="72" spans="1:16" ht="13.5" customHeight="1" x14ac:dyDescent="0.25">
      <c r="A72" s="203">
        <v>3</v>
      </c>
      <c r="B72" s="366" t="s">
        <v>58</v>
      </c>
      <c r="C72" s="366"/>
      <c r="D72" s="366"/>
      <c r="E72" s="366"/>
      <c r="F72" s="366"/>
      <c r="G72" s="366"/>
      <c r="H72" s="203" t="s">
        <v>18</v>
      </c>
      <c r="I72" s="203" t="s">
        <v>19</v>
      </c>
      <c r="J72" s="55"/>
    </row>
    <row r="73" spans="1:16" s="249" customFormat="1" ht="13.5" customHeight="1" x14ac:dyDescent="0.25">
      <c r="A73" s="219" t="s">
        <v>2</v>
      </c>
      <c r="B73" s="367" t="s">
        <v>59</v>
      </c>
      <c r="C73" s="367"/>
      <c r="D73" s="367"/>
      <c r="E73" s="367"/>
      <c r="F73" s="367"/>
      <c r="G73" s="367"/>
      <c r="H73" s="250">
        <f>0.05*(1/12)/30*3</f>
        <v>4.1666666666666664E-4</v>
      </c>
      <c r="I73" s="220">
        <f t="shared" ref="I73:I78" si="1">$I$35*H73</f>
        <v>0.55677387999999994</v>
      </c>
      <c r="J73" s="247"/>
      <c r="K73" s="248"/>
      <c r="L73" s="248"/>
      <c r="M73" s="248"/>
      <c r="N73" s="248"/>
      <c r="O73" s="248"/>
      <c r="P73" s="248"/>
    </row>
    <row r="74" spans="1:16" s="83" customFormat="1" ht="13.5" customHeight="1" x14ac:dyDescent="0.25">
      <c r="A74" s="201" t="s">
        <v>4</v>
      </c>
      <c r="B74" s="364" t="s">
        <v>60</v>
      </c>
      <c r="C74" s="364"/>
      <c r="D74" s="364"/>
      <c r="E74" s="364"/>
      <c r="F74" s="364"/>
      <c r="G74" s="364"/>
      <c r="H74" s="84">
        <f>H51*H73</f>
        <v>3.3333333333333335E-5</v>
      </c>
      <c r="I74" s="81">
        <f t="shared" si="1"/>
        <v>4.4541910400000002E-2</v>
      </c>
      <c r="J74" s="82"/>
      <c r="K74" s="21"/>
      <c r="L74" s="21"/>
      <c r="M74" s="21"/>
      <c r="N74" s="21"/>
      <c r="O74" s="21"/>
      <c r="P74" s="21"/>
    </row>
    <row r="75" spans="1:16" s="83" customFormat="1" ht="13.5" customHeight="1" x14ac:dyDescent="0.25">
      <c r="A75" s="201" t="s">
        <v>6</v>
      </c>
      <c r="B75" s="364" t="s">
        <v>61</v>
      </c>
      <c r="C75" s="364"/>
      <c r="D75" s="364"/>
      <c r="E75" s="364"/>
      <c r="F75" s="364"/>
      <c r="G75" s="364"/>
      <c r="H75" s="84">
        <f>40%*H51*5%</f>
        <v>1.6000000000000001E-3</v>
      </c>
      <c r="I75" s="81">
        <f t="shared" si="1"/>
        <v>2.1380116992000002</v>
      </c>
      <c r="J75" s="82"/>
      <c r="K75" s="21"/>
      <c r="L75" s="21"/>
      <c r="M75" s="21"/>
      <c r="N75" s="21"/>
      <c r="O75" s="21"/>
      <c r="P75" s="21"/>
    </row>
    <row r="76" spans="1:16" s="249" customFormat="1" ht="13.5" customHeight="1" x14ac:dyDescent="0.25">
      <c r="A76" s="219" t="s">
        <v>8</v>
      </c>
      <c r="B76" s="367" t="s">
        <v>62</v>
      </c>
      <c r="C76" s="367"/>
      <c r="D76" s="367"/>
      <c r="E76" s="367"/>
      <c r="F76" s="367"/>
      <c r="G76" s="367"/>
      <c r="H76" s="246">
        <f>(1/30)*7/12*100%/30*3</f>
        <v>1.9444444444444444E-3</v>
      </c>
      <c r="I76" s="220">
        <f t="shared" si="1"/>
        <v>2.5982781066666667</v>
      </c>
      <c r="J76" s="247"/>
      <c r="K76" s="248"/>
      <c r="L76" s="248"/>
      <c r="M76" s="248"/>
      <c r="N76" s="248"/>
      <c r="O76" s="248"/>
      <c r="P76" s="248"/>
    </row>
    <row r="77" spans="1:16" s="83" customFormat="1" ht="13.5" customHeight="1" x14ac:dyDescent="0.25">
      <c r="A77" s="201" t="s">
        <v>24</v>
      </c>
      <c r="B77" s="364" t="s">
        <v>63</v>
      </c>
      <c r="C77" s="364"/>
      <c r="D77" s="364"/>
      <c r="E77" s="364"/>
      <c r="F77" s="364"/>
      <c r="G77" s="364"/>
      <c r="H77" s="85">
        <f>H52*H76</f>
        <v>6.9766666666666675E-4</v>
      </c>
      <c r="I77" s="81">
        <f t="shared" si="1"/>
        <v>0.93226218467200006</v>
      </c>
      <c r="J77" s="82"/>
      <c r="K77" s="21"/>
      <c r="L77" s="21"/>
      <c r="M77" s="21"/>
      <c r="N77" s="21"/>
      <c r="O77" s="21"/>
      <c r="P77" s="21"/>
    </row>
    <row r="78" spans="1:16" s="83" customFormat="1" ht="13.5" customHeight="1" x14ac:dyDescent="0.25">
      <c r="A78" s="201" t="s">
        <v>26</v>
      </c>
      <c r="B78" s="364" t="s">
        <v>64</v>
      </c>
      <c r="C78" s="364"/>
      <c r="D78" s="364"/>
      <c r="E78" s="364"/>
      <c r="F78" s="364"/>
      <c r="G78" s="364"/>
      <c r="H78" s="80">
        <f>40%*H51*95%</f>
        <v>3.04E-2</v>
      </c>
      <c r="I78" s="81">
        <f t="shared" si="1"/>
        <v>40.622222284799996</v>
      </c>
      <c r="J78" s="82"/>
      <c r="K78" s="129"/>
      <c r="L78" s="21"/>
      <c r="M78" s="21"/>
      <c r="N78" s="21"/>
      <c r="O78" s="21"/>
      <c r="P78" s="21"/>
    </row>
    <row r="79" spans="1:16" ht="13.5" customHeight="1" x14ac:dyDescent="0.25">
      <c r="A79" s="336" t="s">
        <v>65</v>
      </c>
      <c r="B79" s="337"/>
      <c r="C79" s="337"/>
      <c r="D79" s="337"/>
      <c r="E79" s="337"/>
      <c r="F79" s="337"/>
      <c r="G79" s="338"/>
      <c r="H79" s="63">
        <f>SUM(H73:H78)</f>
        <v>3.5092111111111109E-2</v>
      </c>
      <c r="I79" s="60">
        <f>SUM(I73:I78)</f>
        <v>46.892090065738664</v>
      </c>
      <c r="J79" s="61"/>
    </row>
    <row r="80" spans="1:16" x14ac:dyDescent="0.25">
      <c r="A80" s="141"/>
      <c r="B80" s="365"/>
      <c r="C80" s="365"/>
      <c r="D80" s="365"/>
      <c r="E80" s="365"/>
      <c r="F80" s="365"/>
      <c r="G80" s="365"/>
      <c r="H80" s="365"/>
      <c r="I80" s="144"/>
      <c r="J80" s="144"/>
    </row>
    <row r="81" spans="1:16" ht="13.5" customHeight="1" x14ac:dyDescent="0.25">
      <c r="A81" s="347" t="s">
        <v>126</v>
      </c>
      <c r="B81" s="347"/>
      <c r="C81" s="347"/>
      <c r="D81" s="347"/>
      <c r="E81" s="347"/>
      <c r="F81" s="347"/>
      <c r="G81" s="347"/>
      <c r="H81" s="347"/>
      <c r="I81" s="347"/>
      <c r="J81" s="54"/>
    </row>
    <row r="82" spans="1:16" ht="13.5" customHeight="1" x14ac:dyDescent="0.25">
      <c r="A82" s="142" t="s">
        <v>66</v>
      </c>
      <c r="B82" s="359" t="s">
        <v>67</v>
      </c>
      <c r="C82" s="359"/>
      <c r="D82" s="359"/>
      <c r="E82" s="359"/>
      <c r="F82" s="359"/>
      <c r="G82" s="359"/>
      <c r="H82" s="142" t="s">
        <v>18</v>
      </c>
      <c r="I82" s="142" t="s">
        <v>19</v>
      </c>
      <c r="J82" s="55"/>
    </row>
    <row r="83" spans="1:16" ht="13.5" customHeight="1" x14ac:dyDescent="0.25">
      <c r="A83" s="137" t="s">
        <v>2</v>
      </c>
      <c r="B83" s="334" t="s">
        <v>68</v>
      </c>
      <c r="C83" s="334"/>
      <c r="D83" s="334"/>
      <c r="E83" s="334"/>
      <c r="F83" s="334"/>
      <c r="G83" s="334"/>
      <c r="H83" s="86">
        <f>(( 1+1/3)/12)/12</f>
        <v>9.2592592592592587E-3</v>
      </c>
      <c r="I83" s="56">
        <f>SUM($I$35,$I$69,$I$79)*H83</f>
        <v>26.203542173566717</v>
      </c>
      <c r="J83" s="57"/>
    </row>
    <row r="84" spans="1:16" s="223" customFormat="1" ht="13.5" customHeight="1" x14ac:dyDescent="0.25">
      <c r="A84" s="219" t="s">
        <v>4</v>
      </c>
      <c r="B84" s="355" t="s">
        <v>69</v>
      </c>
      <c r="C84" s="355"/>
      <c r="D84" s="355"/>
      <c r="E84" s="355"/>
      <c r="F84" s="355"/>
      <c r="G84" s="355"/>
      <c r="H84" s="250">
        <v>0</v>
      </c>
      <c r="I84" s="220">
        <f>SUM($I$35,$I$69,$I$79)*H84</f>
        <v>0</v>
      </c>
      <c r="J84" s="221"/>
      <c r="K84" s="222"/>
      <c r="L84" s="222"/>
      <c r="M84" s="222"/>
      <c r="N84" s="222"/>
      <c r="O84" s="222"/>
      <c r="P84" s="222"/>
    </row>
    <row r="85" spans="1:16" s="223" customFormat="1" ht="13.5" customHeight="1" x14ac:dyDescent="0.25">
      <c r="A85" s="219" t="s">
        <v>6</v>
      </c>
      <c r="B85" s="355" t="s">
        <v>70</v>
      </c>
      <c r="C85" s="355"/>
      <c r="D85" s="355"/>
      <c r="E85" s="355"/>
      <c r="F85" s="355"/>
      <c r="G85" s="355"/>
      <c r="H85" s="250">
        <v>0</v>
      </c>
      <c r="I85" s="220">
        <f>SUM($I$35,$I$69,$I$79)*H85</f>
        <v>0</v>
      </c>
      <c r="J85" s="221"/>
      <c r="K85" s="222"/>
      <c r="L85" s="222"/>
      <c r="M85" s="222"/>
      <c r="N85" s="222"/>
      <c r="O85" s="222"/>
      <c r="P85" s="222"/>
    </row>
    <row r="86" spans="1:16" s="223" customFormat="1" ht="13.5" customHeight="1" x14ac:dyDescent="0.25">
      <c r="A86" s="219" t="s">
        <v>8</v>
      </c>
      <c r="B86" s="355" t="s">
        <v>71</v>
      </c>
      <c r="C86" s="355"/>
      <c r="D86" s="355"/>
      <c r="E86" s="355"/>
      <c r="F86" s="355"/>
      <c r="G86" s="355"/>
      <c r="H86" s="250">
        <v>0</v>
      </c>
      <c r="I86" s="220">
        <f>SUM($I$35,$I$69,$I$79)*H86</f>
        <v>0</v>
      </c>
      <c r="J86" s="221"/>
      <c r="K86" s="222"/>
      <c r="L86" s="222"/>
      <c r="M86" s="222"/>
      <c r="N86" s="222"/>
      <c r="O86" s="222"/>
      <c r="P86" s="222"/>
    </row>
    <row r="87" spans="1:16" s="223" customFormat="1" ht="13.5" customHeight="1" x14ac:dyDescent="0.25">
      <c r="A87" s="219" t="s">
        <v>24</v>
      </c>
      <c r="B87" s="355" t="s">
        <v>72</v>
      </c>
      <c r="C87" s="355"/>
      <c r="D87" s="355"/>
      <c r="E87" s="355"/>
      <c r="F87" s="355"/>
      <c r="G87" s="355"/>
      <c r="H87" s="250">
        <v>0</v>
      </c>
      <c r="I87" s="220">
        <f>SUM($I$35,$I$69,$I$79)*H87</f>
        <v>0</v>
      </c>
      <c r="J87" s="221"/>
      <c r="K87" s="222"/>
      <c r="L87" s="222"/>
      <c r="M87" s="222"/>
      <c r="N87" s="222"/>
      <c r="O87" s="222"/>
      <c r="P87" s="222"/>
    </row>
    <row r="88" spans="1:16" s="223" customFormat="1" ht="13.5" customHeight="1" x14ac:dyDescent="0.25">
      <c r="A88" s="219" t="s">
        <v>26</v>
      </c>
      <c r="B88" s="355" t="s">
        <v>134</v>
      </c>
      <c r="C88" s="355"/>
      <c r="D88" s="355"/>
      <c r="E88" s="355"/>
      <c r="F88" s="355"/>
      <c r="G88" s="355"/>
      <c r="H88" s="246">
        <v>0</v>
      </c>
      <c r="I88" s="220">
        <f t="shared" ref="I88" si="2">SUM($I$35,$I$69,$I$79)*H88</f>
        <v>0</v>
      </c>
      <c r="J88" s="221"/>
      <c r="K88" s="222"/>
      <c r="L88" s="222"/>
      <c r="M88" s="222"/>
      <c r="N88" s="222"/>
      <c r="O88" s="222"/>
      <c r="P88" s="222"/>
    </row>
    <row r="89" spans="1:16" ht="13.5" customHeight="1" x14ac:dyDescent="0.25">
      <c r="A89" s="87"/>
      <c r="B89" s="359" t="s">
        <v>73</v>
      </c>
      <c r="C89" s="359"/>
      <c r="D89" s="359"/>
      <c r="E89" s="359"/>
      <c r="F89" s="359"/>
      <c r="G89" s="359"/>
      <c r="H89" s="88">
        <f>SUM(H83:H88)</f>
        <v>9.2592592592592587E-3</v>
      </c>
      <c r="I89" s="64">
        <f>SUM(I83:I88)</f>
        <v>26.203542173566717</v>
      </c>
      <c r="J89" s="65"/>
      <c r="K89" s="31"/>
      <c r="L89" s="33"/>
      <c r="M89" s="34"/>
    </row>
    <row r="90" spans="1:16" ht="5.25" customHeight="1" x14ac:dyDescent="0.25">
      <c r="A90" s="89"/>
      <c r="B90" s="329"/>
      <c r="C90" s="329"/>
      <c r="D90" s="329"/>
      <c r="E90" s="329"/>
      <c r="F90" s="329"/>
      <c r="G90" s="330"/>
      <c r="H90" s="330"/>
      <c r="I90" s="72"/>
      <c r="J90" s="72"/>
    </row>
    <row r="91" spans="1:16" ht="13.5" customHeight="1" x14ac:dyDescent="0.25">
      <c r="A91" s="142" t="s">
        <v>74</v>
      </c>
      <c r="B91" s="360" t="s">
        <v>75</v>
      </c>
      <c r="C91" s="361"/>
      <c r="D91" s="361"/>
      <c r="E91" s="361"/>
      <c r="F91" s="361"/>
      <c r="G91" s="361"/>
      <c r="H91" s="362"/>
      <c r="I91" s="142" t="s">
        <v>19</v>
      </c>
      <c r="J91" s="55"/>
    </row>
    <row r="92" spans="1:16" ht="13.5" customHeight="1" x14ac:dyDescent="0.25">
      <c r="A92" s="137" t="s">
        <v>2</v>
      </c>
      <c r="B92" s="339" t="s">
        <v>208</v>
      </c>
      <c r="C92" s="340"/>
      <c r="D92" s="340"/>
      <c r="E92" s="340"/>
      <c r="F92" s="340"/>
      <c r="G92" s="340"/>
      <c r="H92" s="363"/>
      <c r="I92" s="90">
        <v>0</v>
      </c>
      <c r="J92" s="91"/>
    </row>
    <row r="93" spans="1:16" ht="13.5" customHeight="1" x14ac:dyDescent="0.25">
      <c r="A93" s="87"/>
      <c r="B93" s="336" t="s">
        <v>76</v>
      </c>
      <c r="C93" s="337"/>
      <c r="D93" s="337"/>
      <c r="E93" s="337"/>
      <c r="F93" s="337"/>
      <c r="G93" s="337"/>
      <c r="H93" s="338"/>
      <c r="I93" s="64">
        <f>SUM(I92)</f>
        <v>0</v>
      </c>
      <c r="J93" s="65"/>
    </row>
    <row r="94" spans="1:16" x14ac:dyDescent="0.25">
      <c r="A94" s="89"/>
      <c r="B94" s="329"/>
      <c r="C94" s="329"/>
      <c r="D94" s="329"/>
      <c r="E94" s="329"/>
      <c r="F94" s="329"/>
      <c r="G94" s="330"/>
      <c r="H94" s="330"/>
      <c r="I94" s="72"/>
      <c r="J94" s="72"/>
    </row>
    <row r="95" spans="1:16" ht="13.5" customHeight="1" x14ac:dyDescent="0.25">
      <c r="A95" s="356" t="s">
        <v>77</v>
      </c>
      <c r="B95" s="356"/>
      <c r="C95" s="356"/>
      <c r="D95" s="356"/>
      <c r="E95" s="356"/>
      <c r="F95" s="356"/>
      <c r="G95" s="356"/>
      <c r="H95" s="356"/>
      <c r="I95" s="356"/>
      <c r="J95" s="49"/>
    </row>
    <row r="96" spans="1:16" ht="13.5" customHeight="1" x14ac:dyDescent="0.25">
      <c r="A96" s="79" t="s">
        <v>66</v>
      </c>
      <c r="B96" s="357" t="s">
        <v>69</v>
      </c>
      <c r="C96" s="357"/>
      <c r="D96" s="357"/>
      <c r="E96" s="357"/>
      <c r="F96" s="357"/>
      <c r="G96" s="357"/>
      <c r="H96" s="357"/>
      <c r="I96" s="56">
        <f>I89</f>
        <v>26.203542173566717</v>
      </c>
      <c r="J96" s="57"/>
    </row>
    <row r="97" spans="1:16" ht="13.5" customHeight="1" x14ac:dyDescent="0.25">
      <c r="A97" s="79" t="s">
        <v>74</v>
      </c>
      <c r="B97" s="358" t="s">
        <v>78</v>
      </c>
      <c r="C97" s="358"/>
      <c r="D97" s="358"/>
      <c r="E97" s="358"/>
      <c r="F97" s="358"/>
      <c r="G97" s="358"/>
      <c r="H97" s="358"/>
      <c r="I97" s="56">
        <f>I93</f>
        <v>0</v>
      </c>
      <c r="J97" s="57"/>
    </row>
    <row r="98" spans="1:16" ht="13.5" customHeight="1" x14ac:dyDescent="0.25">
      <c r="A98" s="335" t="s">
        <v>79</v>
      </c>
      <c r="B98" s="335"/>
      <c r="C98" s="335"/>
      <c r="D98" s="335"/>
      <c r="E98" s="335"/>
      <c r="F98" s="335"/>
      <c r="G98" s="335"/>
      <c r="H98" s="335"/>
      <c r="I98" s="60">
        <f>SUM(I96:I97)</f>
        <v>26.203542173566717</v>
      </c>
      <c r="J98" s="61"/>
    </row>
    <row r="99" spans="1:16" x14ac:dyDescent="0.25">
      <c r="A99" s="89"/>
      <c r="B99" s="329"/>
      <c r="C99" s="329"/>
      <c r="D99" s="329"/>
      <c r="E99" s="329"/>
      <c r="F99" s="329"/>
      <c r="G99" s="330"/>
      <c r="H99" s="330"/>
      <c r="I99" s="72"/>
      <c r="J99" s="72"/>
    </row>
    <row r="100" spans="1:16" ht="13.5" customHeight="1" x14ac:dyDescent="0.25">
      <c r="A100" s="347" t="s">
        <v>128</v>
      </c>
      <c r="B100" s="347"/>
      <c r="C100" s="347"/>
      <c r="D100" s="347"/>
      <c r="E100" s="347"/>
      <c r="F100" s="347"/>
      <c r="G100" s="347"/>
      <c r="H100" s="347"/>
      <c r="I100" s="347"/>
      <c r="J100" s="54"/>
    </row>
    <row r="101" spans="1:16" ht="13.5" customHeight="1" x14ac:dyDescent="0.25">
      <c r="A101" s="142">
        <v>5</v>
      </c>
      <c r="B101" s="335" t="s">
        <v>80</v>
      </c>
      <c r="C101" s="335"/>
      <c r="D101" s="335"/>
      <c r="E101" s="335"/>
      <c r="F101" s="335"/>
      <c r="G101" s="335"/>
      <c r="H101" s="335"/>
      <c r="I101" s="142" t="s">
        <v>19</v>
      </c>
      <c r="J101" s="55"/>
    </row>
    <row r="102" spans="1:16" ht="13.5" customHeight="1" x14ac:dyDescent="0.25">
      <c r="A102" s="137" t="s">
        <v>2</v>
      </c>
      <c r="B102" s="349" t="s">
        <v>142</v>
      </c>
      <c r="C102" s="349"/>
      <c r="D102" s="349"/>
      <c r="E102" s="349"/>
      <c r="F102" s="349"/>
      <c r="G102" s="349"/>
      <c r="H102" s="349"/>
      <c r="I102" s="92">
        <f>(UNIF!G44+UNIF!G59)/2</f>
        <v>70.03164653219622</v>
      </c>
      <c r="J102" s="93"/>
    </row>
    <row r="103" spans="1:16" ht="13.5" customHeight="1" x14ac:dyDescent="0.25">
      <c r="A103" s="137" t="s">
        <v>4</v>
      </c>
      <c r="B103" s="349" t="s">
        <v>81</v>
      </c>
      <c r="C103" s="349"/>
      <c r="D103" s="349"/>
      <c r="E103" s="349"/>
      <c r="F103" s="349"/>
      <c r="G103" s="349"/>
      <c r="H103" s="349"/>
      <c r="I103" s="92">
        <v>0</v>
      </c>
      <c r="J103" s="93"/>
    </row>
    <row r="104" spans="1:16" ht="13.5" customHeight="1" x14ac:dyDescent="0.25">
      <c r="A104" s="137" t="s">
        <v>6</v>
      </c>
      <c r="B104" s="349" t="s">
        <v>206</v>
      </c>
      <c r="C104" s="349"/>
      <c r="D104" s="349"/>
      <c r="E104" s="349"/>
      <c r="F104" s="349"/>
      <c r="G104" s="349"/>
      <c r="H104" s="349"/>
      <c r="I104" s="92">
        <v>0</v>
      </c>
      <c r="J104" s="93"/>
    </row>
    <row r="105" spans="1:16" s="78" customFormat="1" ht="13.5" customHeight="1" x14ac:dyDescent="0.25">
      <c r="A105" s="146" t="s">
        <v>8</v>
      </c>
      <c r="B105" s="350" t="s">
        <v>132</v>
      </c>
      <c r="C105" s="351"/>
      <c r="D105" s="351"/>
      <c r="E105" s="351"/>
      <c r="F105" s="351"/>
      <c r="G105" s="351"/>
      <c r="H105" s="352"/>
      <c r="I105" s="76">
        <v>0</v>
      </c>
      <c r="J105" s="77"/>
      <c r="K105" s="32"/>
      <c r="L105" s="32"/>
      <c r="M105" s="32"/>
      <c r="N105" s="32"/>
      <c r="O105" s="32"/>
      <c r="P105" s="32"/>
    </row>
    <row r="106" spans="1:16" ht="13.5" customHeight="1" x14ac:dyDescent="0.25">
      <c r="A106" s="335" t="s">
        <v>82</v>
      </c>
      <c r="B106" s="335"/>
      <c r="C106" s="335"/>
      <c r="D106" s="335"/>
      <c r="E106" s="335"/>
      <c r="F106" s="335"/>
      <c r="G106" s="335"/>
      <c r="H106" s="335"/>
      <c r="I106" s="60">
        <f>SUM(I102:I105)</f>
        <v>70.03164653219622</v>
      </c>
      <c r="J106" s="61"/>
    </row>
    <row r="107" spans="1:16" x14ac:dyDescent="0.25">
      <c r="A107" s="353"/>
      <c r="B107" s="353"/>
      <c r="C107" s="353"/>
      <c r="D107" s="353"/>
      <c r="E107" s="353"/>
      <c r="F107" s="353"/>
      <c r="G107" s="354"/>
      <c r="H107" s="354"/>
      <c r="I107" s="66"/>
      <c r="J107" s="66"/>
    </row>
    <row r="108" spans="1:16" ht="13.5" customHeight="1" x14ac:dyDescent="0.25">
      <c r="A108" s="347" t="s">
        <v>129</v>
      </c>
      <c r="B108" s="347"/>
      <c r="C108" s="347"/>
      <c r="D108" s="347"/>
      <c r="E108" s="347"/>
      <c r="F108" s="347"/>
      <c r="G108" s="347"/>
      <c r="H108" s="347"/>
      <c r="I108" s="347"/>
      <c r="J108" s="54"/>
    </row>
    <row r="109" spans="1:16" ht="13.5" customHeight="1" x14ac:dyDescent="0.25">
      <c r="A109" s="142">
        <v>6</v>
      </c>
      <c r="B109" s="335" t="s">
        <v>83</v>
      </c>
      <c r="C109" s="335"/>
      <c r="D109" s="335"/>
      <c r="E109" s="335"/>
      <c r="F109" s="335"/>
      <c r="G109" s="335"/>
      <c r="H109" s="142" t="s">
        <v>18</v>
      </c>
      <c r="I109" s="142" t="s">
        <v>19</v>
      </c>
      <c r="J109" s="55"/>
    </row>
    <row r="110" spans="1:16" s="83" customFormat="1" ht="13.5" customHeight="1" x14ac:dyDescent="0.25">
      <c r="A110" s="145" t="s">
        <v>2</v>
      </c>
      <c r="B110" s="348" t="s">
        <v>84</v>
      </c>
      <c r="C110" s="348"/>
      <c r="D110" s="348"/>
      <c r="E110" s="348"/>
      <c r="F110" s="348"/>
      <c r="G110" s="348"/>
      <c r="H110" s="94">
        <v>1.4999999999999999E-2</v>
      </c>
      <c r="I110" s="95">
        <f>SUM($I$129)*H110</f>
        <v>43.893266151764529</v>
      </c>
      <c r="J110" s="96"/>
      <c r="K110" s="178" t="s">
        <v>312</v>
      </c>
      <c r="L110" s="180">
        <v>7578</v>
      </c>
      <c r="M110" s="180"/>
      <c r="N110" s="21"/>
      <c r="O110" s="21"/>
      <c r="P110" s="21"/>
    </row>
    <row r="111" spans="1:16" s="83" customFormat="1" ht="13.5" customHeight="1" x14ac:dyDescent="0.25">
      <c r="A111" s="145" t="s">
        <v>4</v>
      </c>
      <c r="B111" s="348" t="s">
        <v>85</v>
      </c>
      <c r="C111" s="348"/>
      <c r="D111" s="348"/>
      <c r="E111" s="348"/>
      <c r="F111" s="348"/>
      <c r="G111" s="348"/>
      <c r="H111" s="94">
        <v>1.3010000000000001E-2</v>
      </c>
      <c r="I111" s="95">
        <f>SUM($I$129,I110)*H111</f>
        <v>38.641144234931559</v>
      </c>
      <c r="J111" s="96"/>
      <c r="K111" s="178" t="s">
        <v>313</v>
      </c>
      <c r="L111" s="180">
        <f>PROPOSTA!I48</f>
        <v>9654.36</v>
      </c>
      <c r="M111" s="180"/>
      <c r="N111" s="21"/>
      <c r="O111" s="21"/>
      <c r="P111" s="21"/>
    </row>
    <row r="112" spans="1:16" ht="13.5" customHeight="1" x14ac:dyDescent="0.25">
      <c r="A112" s="137"/>
      <c r="B112" s="342"/>
      <c r="C112" s="342"/>
      <c r="D112" s="342"/>
      <c r="E112" s="343" t="s">
        <v>86</v>
      </c>
      <c r="F112" s="343"/>
      <c r="G112" s="343"/>
      <c r="H112" s="343"/>
      <c r="I112" s="97"/>
      <c r="J112" s="98"/>
      <c r="L112" s="181">
        <f>L110-L111</f>
        <v>-2076.3600000000006</v>
      </c>
      <c r="M112" s="181"/>
    </row>
    <row r="113" spans="1:10" ht="13.5" customHeight="1" x14ac:dyDescent="0.25">
      <c r="A113" s="137" t="s">
        <v>6</v>
      </c>
      <c r="B113" s="344" t="s">
        <v>87</v>
      </c>
      <c r="C113" s="344"/>
      <c r="D113" s="344"/>
      <c r="E113" s="345">
        <f>SUM(H115,H116,H119)</f>
        <v>6.5060000000000007E-2</v>
      </c>
      <c r="F113" s="346"/>
      <c r="G113" s="345">
        <f>1-((H115+H116+H119))</f>
        <v>0.93493999999999999</v>
      </c>
      <c r="H113" s="346"/>
      <c r="I113" s="99"/>
      <c r="J113" s="100"/>
    </row>
    <row r="114" spans="1:10" ht="13.5" customHeight="1" x14ac:dyDescent="0.25">
      <c r="A114" s="137" t="s">
        <v>88</v>
      </c>
      <c r="B114" s="339" t="s">
        <v>89</v>
      </c>
      <c r="C114" s="340"/>
      <c r="D114" s="340"/>
      <c r="E114" s="340"/>
      <c r="F114" s="340"/>
      <c r="G114" s="340"/>
      <c r="H114" s="340"/>
      <c r="I114" s="101"/>
      <c r="J114" s="102"/>
    </row>
    <row r="115" spans="1:10" ht="13.5" customHeight="1" x14ac:dyDescent="0.25">
      <c r="A115" s="103" t="s">
        <v>90</v>
      </c>
      <c r="B115" s="341" t="s">
        <v>91</v>
      </c>
      <c r="C115" s="341"/>
      <c r="D115" s="341"/>
      <c r="E115" s="341"/>
      <c r="F115" s="341"/>
      <c r="G115" s="341"/>
      <c r="H115" s="104">
        <v>2.6800000000000001E-3</v>
      </c>
      <c r="I115" s="97">
        <f>SUM($I$129,$I$110,$I$111)*H115/(1-$E$113)</f>
        <v>8.6245703171165449</v>
      </c>
      <c r="J115" s="98"/>
    </row>
    <row r="116" spans="1:10" ht="13.5" customHeight="1" x14ac:dyDescent="0.25">
      <c r="A116" s="103" t="s">
        <v>92</v>
      </c>
      <c r="B116" s="341" t="s">
        <v>93</v>
      </c>
      <c r="C116" s="341"/>
      <c r="D116" s="341"/>
      <c r="E116" s="341"/>
      <c r="F116" s="341"/>
      <c r="G116" s="341"/>
      <c r="H116" s="104">
        <v>1.238E-2</v>
      </c>
      <c r="I116" s="97">
        <f>SUM($I$129,$I$110,$I$111)*H116/(1-$E$113)</f>
        <v>39.840365867874191</v>
      </c>
      <c r="J116" s="98"/>
    </row>
    <row r="117" spans="1:10" ht="13.5" customHeight="1" x14ac:dyDescent="0.25">
      <c r="A117" s="137" t="s">
        <v>94</v>
      </c>
      <c r="B117" s="339" t="s">
        <v>95</v>
      </c>
      <c r="C117" s="340"/>
      <c r="D117" s="340"/>
      <c r="E117" s="340"/>
      <c r="F117" s="340"/>
      <c r="G117" s="340"/>
      <c r="H117" s="340"/>
      <c r="I117" s="101"/>
      <c r="J117" s="102"/>
    </row>
    <row r="118" spans="1:10" ht="13.5" customHeight="1" x14ac:dyDescent="0.25">
      <c r="A118" s="137" t="s">
        <v>96</v>
      </c>
      <c r="B118" s="339" t="s">
        <v>97</v>
      </c>
      <c r="C118" s="340"/>
      <c r="D118" s="340"/>
      <c r="E118" s="340"/>
      <c r="F118" s="340"/>
      <c r="G118" s="340"/>
      <c r="H118" s="340"/>
      <c r="I118" s="101"/>
      <c r="J118" s="102"/>
    </row>
    <row r="119" spans="1:10" ht="13.5" customHeight="1" x14ac:dyDescent="0.25">
      <c r="A119" s="103" t="s">
        <v>98</v>
      </c>
      <c r="B119" s="341" t="s">
        <v>99</v>
      </c>
      <c r="C119" s="341"/>
      <c r="D119" s="341"/>
      <c r="E119" s="341"/>
      <c r="F119" s="341"/>
      <c r="G119" s="341"/>
      <c r="H119" s="105">
        <v>0.05</v>
      </c>
      <c r="I119" s="97">
        <f>SUM($I$129,$I$110,$I$111)*H119/(1-$E$113)</f>
        <v>160.90616263277136</v>
      </c>
      <c r="J119" s="98"/>
    </row>
    <row r="120" spans="1:10" ht="13.5" customHeight="1" x14ac:dyDescent="0.25">
      <c r="A120" s="335" t="s">
        <v>100</v>
      </c>
      <c r="B120" s="335"/>
      <c r="C120" s="335"/>
      <c r="D120" s="335"/>
      <c r="E120" s="335"/>
      <c r="F120" s="335"/>
      <c r="G120" s="335"/>
      <c r="H120" s="335"/>
      <c r="I120" s="60">
        <f>SUM(I110:I119)</f>
        <v>291.90550920445821</v>
      </c>
      <c r="J120" s="61"/>
    </row>
    <row r="121" spans="1:10" x14ac:dyDescent="0.25">
      <c r="A121" s="89"/>
      <c r="B121" s="329"/>
      <c r="C121" s="329"/>
      <c r="D121" s="329"/>
      <c r="E121" s="329"/>
      <c r="F121" s="329"/>
      <c r="G121" s="330"/>
      <c r="H121" s="330"/>
      <c r="I121" s="72"/>
      <c r="J121" s="72"/>
    </row>
    <row r="122" spans="1:10" ht="13.5" customHeight="1" x14ac:dyDescent="0.25">
      <c r="A122" s="325" t="s">
        <v>101</v>
      </c>
      <c r="B122" s="325"/>
      <c r="C122" s="325"/>
      <c r="D122" s="325"/>
      <c r="E122" s="325"/>
      <c r="F122" s="325"/>
      <c r="G122" s="325"/>
      <c r="H122" s="325"/>
      <c r="I122" s="325"/>
      <c r="J122" s="106"/>
    </row>
    <row r="123" spans="1:10" ht="13.5" customHeight="1" x14ac:dyDescent="0.25">
      <c r="A123" s="142"/>
      <c r="B123" s="336" t="s">
        <v>102</v>
      </c>
      <c r="C123" s="337"/>
      <c r="D123" s="337"/>
      <c r="E123" s="337"/>
      <c r="F123" s="337"/>
      <c r="G123" s="337"/>
      <c r="H123" s="338"/>
      <c r="I123" s="142" t="s">
        <v>19</v>
      </c>
      <c r="J123" s="55"/>
    </row>
    <row r="124" spans="1:10" ht="13.5" customHeight="1" x14ac:dyDescent="0.25">
      <c r="A124" s="137" t="s">
        <v>2</v>
      </c>
      <c r="B124" s="333" t="s">
        <v>103</v>
      </c>
      <c r="C124" s="333"/>
      <c r="D124" s="333"/>
      <c r="E124" s="333"/>
      <c r="F124" s="333"/>
      <c r="G124" s="333"/>
      <c r="H124" s="333"/>
      <c r="I124" s="56">
        <f>I35</f>
        <v>1336.257312</v>
      </c>
      <c r="J124" s="57"/>
    </row>
    <row r="125" spans="1:10" ht="13.5" customHeight="1" x14ac:dyDescent="0.25">
      <c r="A125" s="137" t="s">
        <v>4</v>
      </c>
      <c r="B125" s="333" t="s">
        <v>104</v>
      </c>
      <c r="C125" s="333"/>
      <c r="D125" s="333"/>
      <c r="E125" s="333"/>
      <c r="F125" s="333"/>
      <c r="G125" s="333"/>
      <c r="H125" s="333"/>
      <c r="I125" s="56">
        <f>I69</f>
        <v>1446.8331526794668</v>
      </c>
      <c r="J125" s="57"/>
    </row>
    <row r="126" spans="1:10" ht="13.5" customHeight="1" x14ac:dyDescent="0.25">
      <c r="A126" s="137" t="s">
        <v>6</v>
      </c>
      <c r="B126" s="333" t="s">
        <v>105</v>
      </c>
      <c r="C126" s="333"/>
      <c r="D126" s="333"/>
      <c r="E126" s="333"/>
      <c r="F126" s="333"/>
      <c r="G126" s="333"/>
      <c r="H126" s="333"/>
      <c r="I126" s="56">
        <f>I79</f>
        <v>46.892090065738664</v>
      </c>
      <c r="J126" s="57"/>
    </row>
    <row r="127" spans="1:10" ht="13.5" customHeight="1" x14ac:dyDescent="0.25">
      <c r="A127" s="137" t="s">
        <v>8</v>
      </c>
      <c r="B127" s="333" t="s">
        <v>106</v>
      </c>
      <c r="C127" s="333"/>
      <c r="D127" s="333"/>
      <c r="E127" s="333"/>
      <c r="F127" s="333"/>
      <c r="G127" s="333"/>
      <c r="H127" s="333"/>
      <c r="I127" s="56">
        <f>I98</f>
        <v>26.203542173566717</v>
      </c>
      <c r="J127" s="57"/>
    </row>
    <row r="128" spans="1:10" ht="13.5" customHeight="1" x14ac:dyDescent="0.25">
      <c r="A128" s="137" t="s">
        <v>24</v>
      </c>
      <c r="B128" s="333" t="s">
        <v>107</v>
      </c>
      <c r="C128" s="333"/>
      <c r="D128" s="333"/>
      <c r="E128" s="333"/>
      <c r="F128" s="333"/>
      <c r="G128" s="333"/>
      <c r="H128" s="333"/>
      <c r="I128" s="56">
        <f>I106</f>
        <v>70.03164653219622</v>
      </c>
      <c r="J128" s="57"/>
    </row>
    <row r="129" spans="1:12" ht="13.5" customHeight="1" x14ac:dyDescent="0.25">
      <c r="A129" s="328" t="s">
        <v>108</v>
      </c>
      <c r="B129" s="328"/>
      <c r="C129" s="328"/>
      <c r="D129" s="328"/>
      <c r="E129" s="328"/>
      <c r="F129" s="328"/>
      <c r="G129" s="328"/>
      <c r="H129" s="328"/>
      <c r="I129" s="107">
        <f>SUM(I124:I128)</f>
        <v>2926.2177434509686</v>
      </c>
      <c r="J129" s="108"/>
    </row>
    <row r="130" spans="1:12" ht="13.5" customHeight="1" x14ac:dyDescent="0.25">
      <c r="A130" s="137" t="s">
        <v>26</v>
      </c>
      <c r="B130" s="334" t="s">
        <v>109</v>
      </c>
      <c r="C130" s="334"/>
      <c r="D130" s="334"/>
      <c r="E130" s="334"/>
      <c r="F130" s="334"/>
      <c r="G130" s="334"/>
      <c r="H130" s="334"/>
      <c r="I130" s="56">
        <f>I120</f>
        <v>291.90550920445821</v>
      </c>
      <c r="J130" s="57"/>
    </row>
    <row r="131" spans="1:12" ht="13.5" customHeight="1" x14ac:dyDescent="0.25">
      <c r="A131" s="328" t="s">
        <v>110</v>
      </c>
      <c r="B131" s="328"/>
      <c r="C131" s="328"/>
      <c r="D131" s="328"/>
      <c r="E131" s="328"/>
      <c r="F131" s="328"/>
      <c r="G131" s="328"/>
      <c r="H131" s="328"/>
      <c r="I131" s="109">
        <f>TRUNC(SUM(I129:I130),2)</f>
        <v>3218.12</v>
      </c>
      <c r="J131" s="110"/>
      <c r="K131" s="35">
        <f>SUM(I35,I69,I79,I98,I106,I110,I111)/G113</f>
        <v>3218.1232526554272</v>
      </c>
    </row>
    <row r="132" spans="1:12" ht="13.5" customHeight="1" x14ac:dyDescent="0.25">
      <c r="A132" s="89"/>
      <c r="B132" s="329"/>
      <c r="C132" s="329"/>
      <c r="D132" s="329"/>
      <c r="E132" s="329"/>
      <c r="F132" s="329"/>
      <c r="G132" s="330"/>
      <c r="H132" s="330"/>
      <c r="I132" s="72"/>
      <c r="J132" s="72"/>
    </row>
    <row r="133" spans="1:12" ht="13.5" customHeight="1" x14ac:dyDescent="0.25">
      <c r="A133" s="325" t="s">
        <v>111</v>
      </c>
      <c r="B133" s="325"/>
      <c r="C133" s="325"/>
      <c r="D133" s="325"/>
      <c r="E133" s="325"/>
      <c r="F133" s="325"/>
      <c r="G133" s="325"/>
      <c r="H133" s="325"/>
      <c r="I133" s="325"/>
      <c r="J133" s="106"/>
    </row>
    <row r="134" spans="1:12" ht="36" x14ac:dyDescent="0.25">
      <c r="A134" s="331" t="s">
        <v>112</v>
      </c>
      <c r="B134" s="331"/>
      <c r="C134" s="331"/>
      <c r="D134" s="111" t="s">
        <v>113</v>
      </c>
      <c r="E134" s="138" t="s">
        <v>120</v>
      </c>
      <c r="F134" s="332" t="s">
        <v>121</v>
      </c>
      <c r="G134" s="332"/>
      <c r="H134" s="112" t="s">
        <v>114</v>
      </c>
      <c r="I134" s="113" t="s">
        <v>122</v>
      </c>
      <c r="J134" s="114"/>
    </row>
    <row r="135" spans="1:12" ht="21" customHeight="1" x14ac:dyDescent="0.25">
      <c r="A135" s="136" t="s">
        <v>115</v>
      </c>
      <c r="B135" s="323" t="str">
        <f>H23</f>
        <v>CONTINUO</v>
      </c>
      <c r="C135" s="323"/>
      <c r="D135" s="115">
        <f>I131</f>
        <v>3218.12</v>
      </c>
      <c r="E135" s="136">
        <v>1</v>
      </c>
      <c r="F135" s="324">
        <f>(D135*E135)</f>
        <v>3218.12</v>
      </c>
      <c r="G135" s="324"/>
      <c r="H135" s="136">
        <f>H18</f>
        <v>3</v>
      </c>
      <c r="I135" s="143">
        <f>F135*H135</f>
        <v>9654.36</v>
      </c>
      <c r="J135" s="116"/>
    </row>
    <row r="136" spans="1:12" ht="13.5" customHeight="1" x14ac:dyDescent="0.25">
      <c r="A136" s="325" t="s">
        <v>116</v>
      </c>
      <c r="B136" s="325"/>
      <c r="C136" s="325"/>
      <c r="D136" s="325"/>
      <c r="E136" s="325"/>
      <c r="F136" s="325"/>
      <c r="G136" s="325"/>
      <c r="H136" s="325"/>
      <c r="I136" s="325"/>
      <c r="J136" s="106"/>
    </row>
    <row r="137" spans="1:12" ht="13.5" customHeight="1" x14ac:dyDescent="0.25">
      <c r="A137" s="136"/>
      <c r="B137" s="326" t="s">
        <v>117</v>
      </c>
      <c r="C137" s="326"/>
      <c r="D137" s="326"/>
      <c r="E137" s="326"/>
      <c r="F137" s="326"/>
      <c r="G137" s="326"/>
      <c r="H137" s="326"/>
      <c r="I137" s="117" t="s">
        <v>19</v>
      </c>
      <c r="J137" s="118"/>
    </row>
    <row r="138" spans="1:12" ht="13.5" customHeight="1" x14ac:dyDescent="0.25">
      <c r="A138" s="125" t="s">
        <v>2</v>
      </c>
      <c r="B138" s="327" t="s">
        <v>118</v>
      </c>
      <c r="C138" s="327"/>
      <c r="D138" s="327"/>
      <c r="E138" s="327"/>
      <c r="F138" s="327"/>
      <c r="G138" s="327"/>
      <c r="H138" s="327"/>
      <c r="I138" s="92">
        <f>F135</f>
        <v>3218.12</v>
      </c>
      <c r="J138" s="93"/>
      <c r="L138" s="35"/>
    </row>
    <row r="139" spans="1:12" ht="13.5" customHeight="1" x14ac:dyDescent="0.25">
      <c r="A139" s="136" t="s">
        <v>4</v>
      </c>
      <c r="B139" s="327" t="s">
        <v>119</v>
      </c>
      <c r="C139" s="327"/>
      <c r="D139" s="327"/>
      <c r="E139" s="327"/>
      <c r="F139" s="327"/>
      <c r="G139" s="327"/>
      <c r="H139" s="327"/>
      <c r="I139" s="92">
        <f>SUM(I138:I138)*H18</f>
        <v>9654.36</v>
      </c>
      <c r="J139" s="93"/>
      <c r="K139" s="122"/>
      <c r="L139" s="119"/>
    </row>
    <row r="140" spans="1:12" ht="13.5" customHeight="1" x14ac:dyDescent="0.25">
      <c r="A140" s="136" t="s">
        <v>6</v>
      </c>
      <c r="B140" s="323" t="s">
        <v>123</v>
      </c>
      <c r="C140" s="323"/>
      <c r="D140" s="323"/>
      <c r="E140" s="323"/>
      <c r="F140" s="323"/>
      <c r="G140" s="323"/>
      <c r="H140" s="323"/>
      <c r="I140" s="120">
        <f>(I139*12)</f>
        <v>115852.32</v>
      </c>
      <c r="J140" s="121"/>
    </row>
    <row r="141" spans="1:12" x14ac:dyDescent="0.25">
      <c r="I141" s="124"/>
    </row>
  </sheetData>
  <sheetProtection formatCells="0" formatColumns="0" formatRows="0" insertColumns="0" insertRows="0" insertHyperlinks="0" deleteColumns="0" deleteRows="0" sort="0" autoFilter="0" pivotTables="0"/>
  <mergeCells count="169">
    <mergeCell ref="A7:I7"/>
    <mergeCell ref="A8:I8"/>
    <mergeCell ref="A9:I9"/>
    <mergeCell ref="A10:I10"/>
    <mergeCell ref="A11:I11"/>
    <mergeCell ref="B12:D12"/>
    <mergeCell ref="E12:I12"/>
    <mergeCell ref="A1:I1"/>
    <mergeCell ref="A2:I2"/>
    <mergeCell ref="A3:I3"/>
    <mergeCell ref="A4:I4"/>
    <mergeCell ref="A5:I5"/>
    <mergeCell ref="A6:I6"/>
    <mergeCell ref="A16:I16"/>
    <mergeCell ref="A17:E17"/>
    <mergeCell ref="F17:G17"/>
    <mergeCell ref="H17:I17"/>
    <mergeCell ref="A18:E18"/>
    <mergeCell ref="F18:G18"/>
    <mergeCell ref="H18:I18"/>
    <mergeCell ref="B13:D13"/>
    <mergeCell ref="E13:I13"/>
    <mergeCell ref="B14:D14"/>
    <mergeCell ref="E14:I14"/>
    <mergeCell ref="B15:D15"/>
    <mergeCell ref="E15:I15"/>
    <mergeCell ref="B23:G23"/>
    <mergeCell ref="H23:I23"/>
    <mergeCell ref="B24:G24"/>
    <mergeCell ref="H24:I24"/>
    <mergeCell ref="A25:I25"/>
    <mergeCell ref="A26:I26"/>
    <mergeCell ref="A19:I19"/>
    <mergeCell ref="B20:G20"/>
    <mergeCell ref="H20:I20"/>
    <mergeCell ref="B21:G21"/>
    <mergeCell ref="H21:I21"/>
    <mergeCell ref="B22:G22"/>
    <mergeCell ref="H22:I22"/>
    <mergeCell ref="B30:F30"/>
    <mergeCell ref="G30:H30"/>
    <mergeCell ref="B31:F31"/>
    <mergeCell ref="G31:H31"/>
    <mergeCell ref="B32:F32"/>
    <mergeCell ref="G32:H32"/>
    <mergeCell ref="B27:F27"/>
    <mergeCell ref="G27:H27"/>
    <mergeCell ref="B28:F28"/>
    <mergeCell ref="G28:H28"/>
    <mergeCell ref="B29:F29"/>
    <mergeCell ref="G29:H29"/>
    <mergeCell ref="A37:I37"/>
    <mergeCell ref="B38:G38"/>
    <mergeCell ref="B39:G39"/>
    <mergeCell ref="B40:G40"/>
    <mergeCell ref="B41:G41"/>
    <mergeCell ref="B43:G43"/>
    <mergeCell ref="B33:F33"/>
    <mergeCell ref="G33:H33"/>
    <mergeCell ref="B34:F34"/>
    <mergeCell ref="G34:H34"/>
    <mergeCell ref="A35:H35"/>
    <mergeCell ref="A36:I36"/>
    <mergeCell ref="B50:G50"/>
    <mergeCell ref="B51:G51"/>
    <mergeCell ref="A52:G52"/>
    <mergeCell ref="B54:G54"/>
    <mergeCell ref="B55:G55"/>
    <mergeCell ref="B56:G56"/>
    <mergeCell ref="B44:G44"/>
    <mergeCell ref="B45:G45"/>
    <mergeCell ref="B46:G46"/>
    <mergeCell ref="B47:G47"/>
    <mergeCell ref="B48:G48"/>
    <mergeCell ref="B49:G49"/>
    <mergeCell ref="A63:H63"/>
    <mergeCell ref="A65:I65"/>
    <mergeCell ref="B66:H66"/>
    <mergeCell ref="B67:H67"/>
    <mergeCell ref="B68:H68"/>
    <mergeCell ref="A69:H69"/>
    <mergeCell ref="B57:G57"/>
    <mergeCell ref="B58:G58"/>
    <mergeCell ref="B59:G59"/>
    <mergeCell ref="B60:G60"/>
    <mergeCell ref="B61:G61"/>
    <mergeCell ref="B62:G62"/>
    <mergeCell ref="B77:G77"/>
    <mergeCell ref="B78:G78"/>
    <mergeCell ref="A79:G79"/>
    <mergeCell ref="B80:F80"/>
    <mergeCell ref="G80:H80"/>
    <mergeCell ref="A81:I81"/>
    <mergeCell ref="A71:I71"/>
    <mergeCell ref="B72:G72"/>
    <mergeCell ref="B73:G73"/>
    <mergeCell ref="B74:G74"/>
    <mergeCell ref="B75:G75"/>
    <mergeCell ref="B76:G76"/>
    <mergeCell ref="B88:G88"/>
    <mergeCell ref="B89:G89"/>
    <mergeCell ref="B90:F90"/>
    <mergeCell ref="G90:H90"/>
    <mergeCell ref="B91:H91"/>
    <mergeCell ref="B92:H92"/>
    <mergeCell ref="B82:G82"/>
    <mergeCell ref="B83:G83"/>
    <mergeCell ref="B84:G84"/>
    <mergeCell ref="B85:G85"/>
    <mergeCell ref="B86:G86"/>
    <mergeCell ref="B87:G87"/>
    <mergeCell ref="A98:H98"/>
    <mergeCell ref="B99:F99"/>
    <mergeCell ref="G99:H99"/>
    <mergeCell ref="A100:I100"/>
    <mergeCell ref="B101:H101"/>
    <mergeCell ref="B102:H102"/>
    <mergeCell ref="B93:H93"/>
    <mergeCell ref="B94:F94"/>
    <mergeCell ref="G94:H94"/>
    <mergeCell ref="A95:I95"/>
    <mergeCell ref="B96:H96"/>
    <mergeCell ref="B97:H97"/>
    <mergeCell ref="A108:I108"/>
    <mergeCell ref="B109:G109"/>
    <mergeCell ref="B110:G110"/>
    <mergeCell ref="B111:G111"/>
    <mergeCell ref="B103:H103"/>
    <mergeCell ref="B104:H104"/>
    <mergeCell ref="B105:H105"/>
    <mergeCell ref="A106:H106"/>
    <mergeCell ref="A107:F107"/>
    <mergeCell ref="G107:H107"/>
    <mergeCell ref="B114:H114"/>
    <mergeCell ref="B115:G115"/>
    <mergeCell ref="B116:G116"/>
    <mergeCell ref="B117:H117"/>
    <mergeCell ref="B118:H118"/>
    <mergeCell ref="B119:G119"/>
    <mergeCell ref="B112:D112"/>
    <mergeCell ref="E112:H112"/>
    <mergeCell ref="B113:D113"/>
    <mergeCell ref="E113:F113"/>
    <mergeCell ref="G113:H113"/>
    <mergeCell ref="B125:H125"/>
    <mergeCell ref="B126:H126"/>
    <mergeCell ref="B127:H127"/>
    <mergeCell ref="B128:H128"/>
    <mergeCell ref="A129:H129"/>
    <mergeCell ref="B130:H130"/>
    <mergeCell ref="A120:H120"/>
    <mergeCell ref="B121:F121"/>
    <mergeCell ref="G121:H121"/>
    <mergeCell ref="A122:I122"/>
    <mergeCell ref="B123:H123"/>
    <mergeCell ref="B124:H124"/>
    <mergeCell ref="B140:H140"/>
    <mergeCell ref="B135:C135"/>
    <mergeCell ref="F135:G135"/>
    <mergeCell ref="A136:I136"/>
    <mergeCell ref="B137:H137"/>
    <mergeCell ref="B138:H138"/>
    <mergeCell ref="B139:H139"/>
    <mergeCell ref="A131:H131"/>
    <mergeCell ref="B132:F132"/>
    <mergeCell ref="G132:H132"/>
    <mergeCell ref="A133:I133"/>
    <mergeCell ref="A134:C134"/>
    <mergeCell ref="F134:G134"/>
  </mergeCells>
  <pageMargins left="0.6692913385826772" right="0.19685039370078741" top="0.78740157480314965" bottom="0.6692913385826772" header="0.11811023622047245" footer="0.11811023622047245"/>
  <pageSetup paperSize="9" scale="75" firstPageNumber="0" fitToHeight="0" orientation="portrait" r:id="rId1"/>
  <headerFooter alignWithMargins="0">
    <oddHeader>&amp;R&amp;G</oddHeader>
    <oddFooter>&amp;L&amp;G</oddFooter>
  </headerFooter>
  <rowBreaks count="1" manualBreakCount="1">
    <brk id="70" max="8" man="1"/>
  </rowBreaks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141"/>
  <sheetViews>
    <sheetView view="pageBreakPreview" topLeftCell="D7" zoomScaleNormal="100" zoomScaleSheetLayoutView="100" workbookViewId="0">
      <selection activeCell="G95" sqref="G95"/>
    </sheetView>
  </sheetViews>
  <sheetFormatPr defaultRowHeight="15" x14ac:dyDescent="0.25"/>
  <cols>
    <col min="1" max="1" width="5.5703125" style="1" customWidth="1"/>
    <col min="2" max="3" width="19.42578125" style="1" customWidth="1"/>
    <col min="4" max="4" width="16.42578125" style="1" customWidth="1"/>
    <col min="5" max="5" width="12.42578125" style="1" customWidth="1"/>
    <col min="6" max="6" width="9.140625" style="1" customWidth="1"/>
    <col min="7" max="7" width="7.5703125" style="1" customWidth="1"/>
    <col min="8" max="8" width="12" style="1" customWidth="1"/>
    <col min="9" max="9" width="20.7109375" style="1" customWidth="1"/>
    <col min="10" max="10" width="2.5703125" style="1" customWidth="1"/>
    <col min="11" max="11" width="13" style="3" customWidth="1"/>
    <col min="12" max="12" width="12.5703125" style="3" customWidth="1"/>
    <col min="13" max="13" width="10.28515625" style="3" customWidth="1"/>
    <col min="14" max="16" width="8.7109375" style="3" customWidth="1"/>
    <col min="17" max="1025" width="8.7109375" style="1" customWidth="1"/>
    <col min="1026" max="16384" width="9.140625" style="1"/>
  </cols>
  <sheetData>
    <row r="1" spans="1:10" ht="15.75" x14ac:dyDescent="0.25">
      <c r="A1" s="302" t="s">
        <v>212</v>
      </c>
      <c r="B1" s="302"/>
      <c r="C1" s="302"/>
      <c r="D1" s="302"/>
      <c r="E1" s="302"/>
      <c r="F1" s="302"/>
      <c r="G1" s="302"/>
      <c r="H1" s="302"/>
      <c r="I1" s="302"/>
      <c r="J1" s="126"/>
    </row>
    <row r="2" spans="1:10" ht="15.75" x14ac:dyDescent="0.25">
      <c r="A2" s="302" t="s">
        <v>213</v>
      </c>
      <c r="B2" s="302"/>
      <c r="C2" s="302"/>
      <c r="D2" s="302"/>
      <c r="E2" s="302"/>
      <c r="F2" s="302"/>
      <c r="G2" s="302"/>
      <c r="H2" s="302"/>
      <c r="I2" s="302"/>
      <c r="J2" s="126"/>
    </row>
    <row r="3" spans="1:10" ht="15.75" x14ac:dyDescent="0.25">
      <c r="A3" s="302" t="s">
        <v>215</v>
      </c>
      <c r="B3" s="302"/>
      <c r="C3" s="302"/>
      <c r="D3" s="302"/>
      <c r="E3" s="302"/>
      <c r="F3" s="302"/>
      <c r="G3" s="302"/>
      <c r="H3" s="302"/>
      <c r="I3" s="302"/>
      <c r="J3" s="126"/>
    </row>
    <row r="4" spans="1:10" ht="15.75" x14ac:dyDescent="0.25">
      <c r="A4" s="302" t="s">
        <v>214</v>
      </c>
      <c r="B4" s="302"/>
      <c r="C4" s="302"/>
      <c r="D4" s="302"/>
      <c r="E4" s="302"/>
      <c r="F4" s="302"/>
      <c r="G4" s="302"/>
      <c r="H4" s="302"/>
      <c r="I4" s="302"/>
      <c r="J4" s="126"/>
    </row>
    <row r="5" spans="1:10" ht="15.75" x14ac:dyDescent="0.25">
      <c r="A5" s="396" t="s">
        <v>323</v>
      </c>
      <c r="B5" s="396"/>
      <c r="C5" s="396"/>
      <c r="D5" s="396"/>
      <c r="E5" s="396"/>
      <c r="F5" s="396"/>
      <c r="G5" s="396"/>
      <c r="H5" s="396"/>
      <c r="I5" s="396"/>
      <c r="J5" s="126"/>
    </row>
    <row r="6" spans="1:10" x14ac:dyDescent="0.25">
      <c r="A6" s="385"/>
      <c r="B6" s="385"/>
      <c r="C6" s="385"/>
      <c r="D6" s="385"/>
      <c r="E6" s="385"/>
      <c r="F6" s="385"/>
      <c r="G6" s="385"/>
      <c r="H6" s="385"/>
      <c r="I6" s="385"/>
      <c r="J6" s="139"/>
    </row>
    <row r="7" spans="1:10" ht="18.75" x14ac:dyDescent="0.25">
      <c r="A7" s="390" t="s">
        <v>0</v>
      </c>
      <c r="B7" s="390"/>
      <c r="C7" s="390"/>
      <c r="D7" s="390"/>
      <c r="E7" s="390"/>
      <c r="F7" s="390"/>
      <c r="G7" s="390"/>
      <c r="H7" s="390"/>
      <c r="I7" s="390"/>
      <c r="J7" s="140"/>
    </row>
    <row r="8" spans="1:10" x14ac:dyDescent="0.25">
      <c r="A8" s="385"/>
      <c r="B8" s="385"/>
      <c r="C8" s="385"/>
      <c r="D8" s="385"/>
      <c r="E8" s="385"/>
      <c r="F8" s="385"/>
      <c r="G8" s="385"/>
      <c r="H8" s="385"/>
      <c r="I8" s="385"/>
      <c r="J8" s="139"/>
    </row>
    <row r="9" spans="1:10" x14ac:dyDescent="0.25">
      <c r="A9" s="391" t="s">
        <v>274</v>
      </c>
      <c r="B9" s="391"/>
      <c r="C9" s="391"/>
      <c r="D9" s="391"/>
      <c r="E9" s="391"/>
      <c r="F9" s="391"/>
      <c r="G9" s="391"/>
      <c r="H9" s="391"/>
      <c r="I9" s="391"/>
      <c r="J9" s="37"/>
    </row>
    <row r="10" spans="1:10" ht="21.75" customHeight="1" thickBot="1" x14ac:dyDescent="0.3">
      <c r="A10" s="392" t="s">
        <v>0</v>
      </c>
      <c r="B10" s="392"/>
      <c r="C10" s="392"/>
      <c r="D10" s="392"/>
      <c r="E10" s="392"/>
      <c r="F10" s="392"/>
      <c r="G10" s="392"/>
      <c r="H10" s="392"/>
      <c r="I10" s="392"/>
      <c r="J10" s="44"/>
    </row>
    <row r="11" spans="1:10" ht="13.5" customHeight="1" x14ac:dyDescent="0.25">
      <c r="A11" s="393" t="s">
        <v>1</v>
      </c>
      <c r="B11" s="393"/>
      <c r="C11" s="393"/>
      <c r="D11" s="393"/>
      <c r="E11" s="393"/>
      <c r="F11" s="393"/>
      <c r="G11" s="393"/>
      <c r="H11" s="393"/>
      <c r="I11" s="393"/>
      <c r="J11" s="45"/>
    </row>
    <row r="12" spans="1:10" ht="13.5" customHeight="1" x14ac:dyDescent="0.25">
      <c r="A12" s="137" t="s">
        <v>2</v>
      </c>
      <c r="B12" s="349" t="s">
        <v>3</v>
      </c>
      <c r="C12" s="349"/>
      <c r="D12" s="349"/>
      <c r="E12" s="394">
        <f>MARCEN!E12</f>
        <v>45065</v>
      </c>
      <c r="F12" s="395"/>
      <c r="G12" s="395"/>
      <c r="H12" s="395"/>
      <c r="I12" s="395"/>
      <c r="J12" s="46"/>
    </row>
    <row r="13" spans="1:10" ht="13.5" customHeight="1" x14ac:dyDescent="0.25">
      <c r="A13" s="137" t="s">
        <v>4</v>
      </c>
      <c r="B13" s="387" t="s">
        <v>5</v>
      </c>
      <c r="C13" s="387"/>
      <c r="D13" s="387"/>
      <c r="E13" s="397" t="str">
        <f>MARCEN!E13</f>
        <v>Picos/PI</v>
      </c>
      <c r="F13" s="398"/>
      <c r="G13" s="398"/>
      <c r="H13" s="398"/>
      <c r="I13" s="398"/>
      <c r="J13" s="47"/>
    </row>
    <row r="14" spans="1:10" ht="13.5" customHeight="1" x14ac:dyDescent="0.25">
      <c r="A14" s="137" t="s">
        <v>6</v>
      </c>
      <c r="B14" s="387" t="s">
        <v>7</v>
      </c>
      <c r="C14" s="387"/>
      <c r="D14" s="387"/>
      <c r="E14" s="397" t="str">
        <f>MARCEN!E14</f>
        <v>PI000066/2023</v>
      </c>
      <c r="F14" s="398"/>
      <c r="G14" s="398"/>
      <c r="H14" s="398"/>
      <c r="I14" s="398"/>
      <c r="J14" s="48"/>
    </row>
    <row r="15" spans="1:10" ht="13.5" customHeight="1" x14ac:dyDescent="0.25">
      <c r="A15" s="137" t="s">
        <v>8</v>
      </c>
      <c r="B15" s="349" t="s">
        <v>9</v>
      </c>
      <c r="C15" s="349"/>
      <c r="D15" s="349"/>
      <c r="E15" s="342" t="s">
        <v>194</v>
      </c>
      <c r="F15" s="342"/>
      <c r="G15" s="342"/>
      <c r="H15" s="342"/>
      <c r="I15" s="342"/>
      <c r="J15" s="147"/>
    </row>
    <row r="16" spans="1:10" x14ac:dyDescent="0.25">
      <c r="A16" s="385"/>
      <c r="B16" s="385"/>
      <c r="C16" s="385"/>
      <c r="D16" s="385"/>
      <c r="E16" s="385"/>
      <c r="F16" s="385"/>
      <c r="G16" s="385"/>
      <c r="H16" s="385"/>
      <c r="I16" s="385"/>
      <c r="J16" s="139"/>
    </row>
    <row r="17" spans="1:16" ht="26.25" customHeight="1" x14ac:dyDescent="0.25">
      <c r="A17" s="335" t="s">
        <v>10</v>
      </c>
      <c r="B17" s="335"/>
      <c r="C17" s="335"/>
      <c r="D17" s="335"/>
      <c r="E17" s="335"/>
      <c r="F17" s="335" t="s">
        <v>11</v>
      </c>
      <c r="G17" s="335"/>
      <c r="H17" s="356" t="s">
        <v>207</v>
      </c>
      <c r="I17" s="356"/>
      <c r="J17" s="49"/>
      <c r="O17" s="30"/>
    </row>
    <row r="18" spans="1:16" x14ac:dyDescent="0.25">
      <c r="A18" s="342" t="str">
        <f>A9</f>
        <v>RECEPCIONISTA</v>
      </c>
      <c r="B18" s="342"/>
      <c r="C18" s="342"/>
      <c r="D18" s="342"/>
      <c r="E18" s="342"/>
      <c r="F18" s="342" t="s">
        <v>257</v>
      </c>
      <c r="G18" s="342"/>
      <c r="H18" s="386">
        <v>1</v>
      </c>
      <c r="I18" s="386"/>
      <c r="J18" s="50"/>
    </row>
    <row r="19" spans="1:16" x14ac:dyDescent="0.25">
      <c r="A19" s="356" t="s">
        <v>124</v>
      </c>
      <c r="B19" s="356"/>
      <c r="C19" s="356"/>
      <c r="D19" s="356"/>
      <c r="E19" s="356"/>
      <c r="F19" s="356"/>
      <c r="G19" s="356"/>
      <c r="H19" s="356"/>
      <c r="I19" s="356"/>
      <c r="J19" s="49"/>
    </row>
    <row r="20" spans="1:16" x14ac:dyDescent="0.25">
      <c r="A20" s="137">
        <v>1</v>
      </c>
      <c r="B20" s="349" t="s">
        <v>12</v>
      </c>
      <c r="C20" s="349"/>
      <c r="D20" s="349"/>
      <c r="E20" s="349"/>
      <c r="F20" s="349"/>
      <c r="G20" s="349"/>
      <c r="H20" s="379" t="s">
        <v>251</v>
      </c>
      <c r="I20" s="379"/>
      <c r="J20" s="147"/>
    </row>
    <row r="21" spans="1:16" x14ac:dyDescent="0.25">
      <c r="A21" s="137">
        <v>2</v>
      </c>
      <c r="B21" s="339" t="s">
        <v>216</v>
      </c>
      <c r="C21" s="340"/>
      <c r="D21" s="340"/>
      <c r="E21" s="340"/>
      <c r="F21" s="340"/>
      <c r="G21" s="380"/>
      <c r="H21" s="381" t="s">
        <v>275</v>
      </c>
      <c r="I21" s="382"/>
      <c r="J21" s="147"/>
    </row>
    <row r="22" spans="1:16" s="21" customFormat="1" ht="12.75" x14ac:dyDescent="0.2">
      <c r="A22" s="204">
        <v>3</v>
      </c>
      <c r="B22" s="383" t="s">
        <v>13</v>
      </c>
      <c r="C22" s="383"/>
      <c r="D22" s="383"/>
      <c r="E22" s="383"/>
      <c r="F22" s="383"/>
      <c r="G22" s="383"/>
      <c r="H22" s="384">
        <f>1437.59*107.43%</f>
        <v>1544.4029370000001</v>
      </c>
      <c r="I22" s="384"/>
      <c r="J22" s="51"/>
    </row>
    <row r="23" spans="1:16" x14ac:dyDescent="0.25">
      <c r="A23" s="137">
        <v>4</v>
      </c>
      <c r="B23" s="349" t="s">
        <v>14</v>
      </c>
      <c r="C23" s="349"/>
      <c r="D23" s="349"/>
      <c r="E23" s="349"/>
      <c r="F23" s="349"/>
      <c r="G23" s="349"/>
      <c r="H23" s="374" t="str">
        <f>A9</f>
        <v>RECEPCIONISTA</v>
      </c>
      <c r="I23" s="374"/>
      <c r="J23" s="52"/>
      <c r="N23" s="4"/>
    </row>
    <row r="24" spans="1:16" x14ac:dyDescent="0.25">
      <c r="A24" s="137">
        <v>5</v>
      </c>
      <c r="B24" s="375" t="s">
        <v>15</v>
      </c>
      <c r="C24" s="375"/>
      <c r="D24" s="375"/>
      <c r="E24" s="375"/>
      <c r="F24" s="375"/>
      <c r="G24" s="375"/>
      <c r="H24" s="376">
        <v>44927</v>
      </c>
      <c r="I24" s="377"/>
      <c r="J24" s="53"/>
    </row>
    <row r="25" spans="1:16" x14ac:dyDescent="0.25">
      <c r="A25" s="378"/>
      <c r="B25" s="378"/>
      <c r="C25" s="378"/>
      <c r="D25" s="378"/>
      <c r="E25" s="378"/>
      <c r="F25" s="378"/>
      <c r="G25" s="378"/>
      <c r="H25" s="378"/>
      <c r="I25" s="378"/>
      <c r="J25" s="147"/>
    </row>
    <row r="26" spans="1:16" ht="13.5" customHeight="1" x14ac:dyDescent="0.25">
      <c r="A26" s="347" t="s">
        <v>16</v>
      </c>
      <c r="B26" s="347"/>
      <c r="C26" s="347"/>
      <c r="D26" s="347"/>
      <c r="E26" s="347"/>
      <c r="F26" s="347"/>
      <c r="G26" s="347"/>
      <c r="H26" s="347"/>
      <c r="I26" s="347"/>
      <c r="J26" s="54"/>
    </row>
    <row r="27" spans="1:16" ht="13.5" customHeight="1" x14ac:dyDescent="0.25">
      <c r="A27" s="142">
        <v>1</v>
      </c>
      <c r="B27" s="335" t="s">
        <v>17</v>
      </c>
      <c r="C27" s="335"/>
      <c r="D27" s="335"/>
      <c r="E27" s="335"/>
      <c r="F27" s="335"/>
      <c r="G27" s="335" t="s">
        <v>18</v>
      </c>
      <c r="H27" s="335"/>
      <c r="I27" s="142" t="s">
        <v>19</v>
      </c>
      <c r="J27" s="55"/>
    </row>
    <row r="28" spans="1:16" s="223" customFormat="1" ht="13.5" customHeight="1" x14ac:dyDescent="0.25">
      <c r="A28" s="219" t="s">
        <v>2</v>
      </c>
      <c r="B28" s="372" t="s">
        <v>20</v>
      </c>
      <c r="C28" s="372"/>
      <c r="D28" s="372"/>
      <c r="E28" s="372"/>
      <c r="F28" s="372"/>
      <c r="G28" s="373">
        <v>1</v>
      </c>
      <c r="H28" s="373"/>
      <c r="I28" s="220">
        <f>H22</f>
        <v>1544.4029370000001</v>
      </c>
      <c r="J28" s="221"/>
      <c r="K28" s="222"/>
      <c r="L28" s="222"/>
      <c r="M28" s="222"/>
      <c r="N28" s="222"/>
      <c r="O28" s="222"/>
      <c r="P28" s="222"/>
    </row>
    <row r="29" spans="1:16" ht="13.5" customHeight="1" x14ac:dyDescent="0.25">
      <c r="A29" s="137" t="s">
        <v>4</v>
      </c>
      <c r="B29" s="357" t="s">
        <v>21</v>
      </c>
      <c r="C29" s="357"/>
      <c r="D29" s="357"/>
      <c r="E29" s="357"/>
      <c r="F29" s="357"/>
      <c r="G29" s="370">
        <v>0</v>
      </c>
      <c r="H29" s="370"/>
      <c r="I29" s="58">
        <f>(I28*G29)</f>
        <v>0</v>
      </c>
      <c r="J29" s="59"/>
    </row>
    <row r="30" spans="1:16" ht="13.5" customHeight="1" x14ac:dyDescent="0.25">
      <c r="A30" s="137" t="s">
        <v>6</v>
      </c>
      <c r="B30" s="357" t="s">
        <v>22</v>
      </c>
      <c r="C30" s="357"/>
      <c r="D30" s="357"/>
      <c r="E30" s="357"/>
      <c r="F30" s="357"/>
      <c r="G30" s="370">
        <v>0</v>
      </c>
      <c r="H30" s="370"/>
      <c r="I30" s="56">
        <f>(I28*G30)</f>
        <v>0</v>
      </c>
      <c r="J30" s="57"/>
    </row>
    <row r="31" spans="1:16" ht="13.5" customHeight="1" x14ac:dyDescent="0.25">
      <c r="A31" s="137" t="s">
        <v>8</v>
      </c>
      <c r="B31" s="357" t="s">
        <v>23</v>
      </c>
      <c r="C31" s="357"/>
      <c r="D31" s="357"/>
      <c r="E31" s="357"/>
      <c r="F31" s="357"/>
      <c r="G31" s="370">
        <v>0</v>
      </c>
      <c r="H31" s="370"/>
      <c r="I31" s="56">
        <v>0</v>
      </c>
      <c r="J31" s="57"/>
    </row>
    <row r="32" spans="1:16" ht="13.5" customHeight="1" x14ac:dyDescent="0.25">
      <c r="A32" s="137" t="s">
        <v>24</v>
      </c>
      <c r="B32" s="357" t="s">
        <v>25</v>
      </c>
      <c r="C32" s="357"/>
      <c r="D32" s="357"/>
      <c r="E32" s="357"/>
      <c r="F32" s="357"/>
      <c r="G32" s="370">
        <v>0</v>
      </c>
      <c r="H32" s="370"/>
      <c r="I32" s="56">
        <v>0</v>
      </c>
      <c r="J32" s="57"/>
    </row>
    <row r="33" spans="1:16" ht="13.5" customHeight="1" x14ac:dyDescent="0.25">
      <c r="A33" s="137" t="s">
        <v>26</v>
      </c>
      <c r="B33" s="357" t="s">
        <v>27</v>
      </c>
      <c r="C33" s="357"/>
      <c r="D33" s="357"/>
      <c r="E33" s="357"/>
      <c r="F33" s="357"/>
      <c r="G33" s="370">
        <v>0</v>
      </c>
      <c r="H33" s="370"/>
      <c r="I33" s="56">
        <v>0</v>
      </c>
      <c r="J33" s="57"/>
    </row>
    <row r="34" spans="1:16" ht="13.5" customHeight="1" x14ac:dyDescent="0.25">
      <c r="A34" s="137" t="s">
        <v>28</v>
      </c>
      <c r="B34" s="349" t="s">
        <v>29</v>
      </c>
      <c r="C34" s="349"/>
      <c r="D34" s="349"/>
      <c r="E34" s="349"/>
      <c r="F34" s="349"/>
      <c r="G34" s="370">
        <v>0</v>
      </c>
      <c r="H34" s="370"/>
      <c r="I34" s="56">
        <v>0</v>
      </c>
      <c r="J34" s="57"/>
    </row>
    <row r="35" spans="1:16" ht="13.5" customHeight="1" x14ac:dyDescent="0.25">
      <c r="A35" s="335" t="s">
        <v>30</v>
      </c>
      <c r="B35" s="335"/>
      <c r="C35" s="335"/>
      <c r="D35" s="335"/>
      <c r="E35" s="335"/>
      <c r="F35" s="335"/>
      <c r="G35" s="335"/>
      <c r="H35" s="335"/>
      <c r="I35" s="60">
        <f>SUM(I28:I34)</f>
        <v>1544.4029370000001</v>
      </c>
      <c r="J35" s="61"/>
    </row>
    <row r="36" spans="1:16" x14ac:dyDescent="0.25">
      <c r="A36" s="371"/>
      <c r="B36" s="371"/>
      <c r="C36" s="371"/>
      <c r="D36" s="371"/>
      <c r="E36" s="371"/>
      <c r="F36" s="371"/>
      <c r="G36" s="371"/>
      <c r="H36" s="371"/>
      <c r="I36" s="371"/>
      <c r="J36" s="149"/>
    </row>
    <row r="37" spans="1:16" ht="13.5" customHeight="1" x14ac:dyDescent="0.25">
      <c r="A37" s="347" t="s">
        <v>127</v>
      </c>
      <c r="B37" s="347"/>
      <c r="C37" s="347"/>
      <c r="D37" s="347"/>
      <c r="E37" s="347"/>
      <c r="F37" s="347"/>
      <c r="G37" s="347"/>
      <c r="H37" s="347"/>
      <c r="I37" s="347"/>
      <c r="J37" s="54"/>
    </row>
    <row r="38" spans="1:16" ht="13.5" customHeight="1" x14ac:dyDescent="0.25">
      <c r="A38" s="142" t="s">
        <v>31</v>
      </c>
      <c r="B38" s="359" t="s">
        <v>32</v>
      </c>
      <c r="C38" s="359"/>
      <c r="D38" s="359"/>
      <c r="E38" s="359"/>
      <c r="F38" s="359"/>
      <c r="G38" s="359"/>
      <c r="H38" s="142" t="s">
        <v>18</v>
      </c>
      <c r="I38" s="142" t="s">
        <v>19</v>
      </c>
      <c r="J38" s="55"/>
    </row>
    <row r="39" spans="1:16" ht="13.5" customHeight="1" x14ac:dyDescent="0.25">
      <c r="A39" s="137" t="s">
        <v>2</v>
      </c>
      <c r="B39" s="358" t="s">
        <v>33</v>
      </c>
      <c r="C39" s="358"/>
      <c r="D39" s="358"/>
      <c r="E39" s="358"/>
      <c r="F39" s="358"/>
      <c r="G39" s="358"/>
      <c r="H39" s="148">
        <f>(1/12)*1</f>
        <v>8.3333333333333329E-2</v>
      </c>
      <c r="I39" s="56">
        <f>$I$35*H39</f>
        <v>128.70024475</v>
      </c>
      <c r="J39" s="57"/>
    </row>
    <row r="40" spans="1:16" ht="13.5" customHeight="1" x14ac:dyDescent="0.25">
      <c r="A40" s="137" t="s">
        <v>4</v>
      </c>
      <c r="B40" s="358" t="s">
        <v>34</v>
      </c>
      <c r="C40" s="358"/>
      <c r="D40" s="358"/>
      <c r="E40" s="358"/>
      <c r="F40" s="358"/>
      <c r="G40" s="358"/>
      <c r="H40" s="148">
        <f>((1+1/3)/12)*1</f>
        <v>0.1111111111111111</v>
      </c>
      <c r="I40" s="56">
        <f>$I$35*H40</f>
        <v>171.60032633333333</v>
      </c>
      <c r="J40" s="57"/>
    </row>
    <row r="41" spans="1:16" ht="13.5" customHeight="1" x14ac:dyDescent="0.25">
      <c r="A41" s="62"/>
      <c r="B41" s="335" t="s">
        <v>35</v>
      </c>
      <c r="C41" s="335"/>
      <c r="D41" s="335"/>
      <c r="E41" s="335"/>
      <c r="F41" s="335"/>
      <c r="G41" s="335"/>
      <c r="H41" s="63">
        <f>SUM(H39:H40)</f>
        <v>0.19444444444444442</v>
      </c>
      <c r="I41" s="64">
        <f>SUM(I39:I40)</f>
        <v>300.30057108333335</v>
      </c>
      <c r="J41" s="65"/>
      <c r="K41" s="31">
        <f>H52*H41</f>
        <v>6.9766666666666671E-2</v>
      </c>
    </row>
    <row r="42" spans="1:16" ht="9.75" customHeight="1" x14ac:dyDescent="0.25">
      <c r="A42" s="141"/>
      <c r="B42" s="141"/>
      <c r="C42" s="141"/>
      <c r="D42" s="141"/>
      <c r="E42" s="141"/>
      <c r="F42" s="141"/>
      <c r="G42" s="141"/>
      <c r="H42" s="141"/>
      <c r="I42" s="66"/>
      <c r="J42" s="66"/>
    </row>
    <row r="43" spans="1:16" ht="13.5" customHeight="1" x14ac:dyDescent="0.25">
      <c r="A43" s="142" t="s">
        <v>36</v>
      </c>
      <c r="B43" s="359" t="s">
        <v>37</v>
      </c>
      <c r="C43" s="359"/>
      <c r="D43" s="359"/>
      <c r="E43" s="359"/>
      <c r="F43" s="359"/>
      <c r="G43" s="359"/>
      <c r="H43" s="142" t="s">
        <v>18</v>
      </c>
      <c r="I43" s="142" t="s">
        <v>19</v>
      </c>
      <c r="J43" s="55"/>
    </row>
    <row r="44" spans="1:16" ht="13.5" customHeight="1" x14ac:dyDescent="0.25">
      <c r="A44" s="137" t="s">
        <v>2</v>
      </c>
      <c r="B44" s="358" t="s">
        <v>38</v>
      </c>
      <c r="C44" s="358"/>
      <c r="D44" s="358"/>
      <c r="E44" s="358"/>
      <c r="F44" s="358"/>
      <c r="G44" s="358"/>
      <c r="H44" s="128">
        <v>0.2</v>
      </c>
      <c r="I44" s="56">
        <f>SUM($I$35,$I$41)*H44</f>
        <v>368.94070161666673</v>
      </c>
      <c r="J44" s="57"/>
    </row>
    <row r="45" spans="1:16" ht="13.5" customHeight="1" x14ac:dyDescent="0.25">
      <c r="A45" s="137" t="s">
        <v>4</v>
      </c>
      <c r="B45" s="358" t="s">
        <v>39</v>
      </c>
      <c r="C45" s="358"/>
      <c r="D45" s="358"/>
      <c r="E45" s="358"/>
      <c r="F45" s="358"/>
      <c r="G45" s="358"/>
      <c r="H45" s="67">
        <v>2.5000000000000001E-2</v>
      </c>
      <c r="I45" s="56">
        <f t="shared" ref="I45:I51" si="0">SUM($I$35,$I$41)*H45</f>
        <v>46.117587702083341</v>
      </c>
      <c r="J45" s="57"/>
    </row>
    <row r="46" spans="1:16" s="83" customFormat="1" ht="13.5" customHeight="1" x14ac:dyDescent="0.25">
      <c r="A46" s="205" t="s">
        <v>6</v>
      </c>
      <c r="B46" s="364" t="s">
        <v>40</v>
      </c>
      <c r="C46" s="364"/>
      <c r="D46" s="364"/>
      <c r="E46" s="364"/>
      <c r="F46" s="364"/>
      <c r="G46" s="364"/>
      <c r="H46" s="207">
        <v>2.0799999999999999E-2</v>
      </c>
      <c r="I46" s="81">
        <f t="shared" si="0"/>
        <v>38.369832968133331</v>
      </c>
      <c r="J46" s="82"/>
      <c r="K46" s="21"/>
      <c r="L46" s="21"/>
      <c r="M46" s="21"/>
      <c r="N46" s="21"/>
      <c r="O46" s="21"/>
      <c r="P46" s="21"/>
    </row>
    <row r="47" spans="1:16" ht="13.5" customHeight="1" x14ac:dyDescent="0.25">
      <c r="A47" s="137" t="s">
        <v>8</v>
      </c>
      <c r="B47" s="358" t="s">
        <v>41</v>
      </c>
      <c r="C47" s="358"/>
      <c r="D47" s="358"/>
      <c r="E47" s="358"/>
      <c r="F47" s="358"/>
      <c r="G47" s="358"/>
      <c r="H47" s="68">
        <v>1.4999999999999999E-2</v>
      </c>
      <c r="I47" s="56">
        <f t="shared" si="0"/>
        <v>27.67055262125</v>
      </c>
      <c r="J47" s="57"/>
    </row>
    <row r="48" spans="1:16" ht="13.5" customHeight="1" x14ac:dyDescent="0.25">
      <c r="A48" s="137" t="s">
        <v>24</v>
      </c>
      <c r="B48" s="358" t="s">
        <v>42</v>
      </c>
      <c r="C48" s="358"/>
      <c r="D48" s="358"/>
      <c r="E48" s="358"/>
      <c r="F48" s="358"/>
      <c r="G48" s="358"/>
      <c r="H48" s="68">
        <v>0.01</v>
      </c>
      <c r="I48" s="56">
        <f t="shared" si="0"/>
        <v>18.447035080833334</v>
      </c>
      <c r="J48" s="57"/>
    </row>
    <row r="49" spans="1:16" ht="13.5" customHeight="1" x14ac:dyDescent="0.25">
      <c r="A49" s="137" t="s">
        <v>26</v>
      </c>
      <c r="B49" s="358" t="s">
        <v>43</v>
      </c>
      <c r="C49" s="358"/>
      <c r="D49" s="358"/>
      <c r="E49" s="358"/>
      <c r="F49" s="358"/>
      <c r="G49" s="358"/>
      <c r="H49" s="68">
        <v>6.0000000000000001E-3</v>
      </c>
      <c r="I49" s="56">
        <f t="shared" si="0"/>
        <v>11.0682210485</v>
      </c>
      <c r="J49" s="57"/>
    </row>
    <row r="50" spans="1:16" ht="13.5" customHeight="1" x14ac:dyDescent="0.25">
      <c r="A50" s="137" t="s">
        <v>28</v>
      </c>
      <c r="B50" s="358" t="s">
        <v>44</v>
      </c>
      <c r="C50" s="358"/>
      <c r="D50" s="358"/>
      <c r="E50" s="358"/>
      <c r="F50" s="358"/>
      <c r="G50" s="358"/>
      <c r="H50" s="68">
        <v>2E-3</v>
      </c>
      <c r="I50" s="56">
        <f t="shared" si="0"/>
        <v>3.6894070161666668</v>
      </c>
      <c r="J50" s="57"/>
    </row>
    <row r="51" spans="1:16" ht="13.5" customHeight="1" x14ac:dyDescent="0.25">
      <c r="A51" s="137" t="s">
        <v>45</v>
      </c>
      <c r="B51" s="358" t="s">
        <v>46</v>
      </c>
      <c r="C51" s="358"/>
      <c r="D51" s="358"/>
      <c r="E51" s="358"/>
      <c r="F51" s="358"/>
      <c r="G51" s="358"/>
      <c r="H51" s="68">
        <v>0.08</v>
      </c>
      <c r="I51" s="56">
        <f t="shared" si="0"/>
        <v>147.57628064666667</v>
      </c>
      <c r="J51" s="57"/>
    </row>
    <row r="52" spans="1:16" ht="13.5" customHeight="1" x14ac:dyDescent="0.25">
      <c r="A52" s="336" t="s">
        <v>47</v>
      </c>
      <c r="B52" s="337"/>
      <c r="C52" s="337"/>
      <c r="D52" s="337"/>
      <c r="E52" s="337"/>
      <c r="F52" s="337"/>
      <c r="G52" s="338"/>
      <c r="H52" s="63">
        <f>SUM(H44:H51)</f>
        <v>0.35880000000000006</v>
      </c>
      <c r="I52" s="69">
        <f>SUM(I44:I51)</f>
        <v>661.87961870030006</v>
      </c>
      <c r="J52" s="70"/>
    </row>
    <row r="53" spans="1:16" ht="10.5" customHeight="1" x14ac:dyDescent="0.25">
      <c r="A53" s="141"/>
      <c r="B53" s="141"/>
      <c r="C53" s="141"/>
      <c r="D53" s="141"/>
      <c r="E53" s="141"/>
      <c r="F53" s="141"/>
      <c r="G53" s="141"/>
      <c r="H53" s="141"/>
      <c r="I53" s="71"/>
      <c r="J53" s="71"/>
    </row>
    <row r="54" spans="1:16" ht="13.5" customHeight="1" x14ac:dyDescent="0.25">
      <c r="A54" s="142" t="s">
        <v>48</v>
      </c>
      <c r="B54" s="359" t="s">
        <v>49</v>
      </c>
      <c r="C54" s="359"/>
      <c r="D54" s="359"/>
      <c r="E54" s="359"/>
      <c r="F54" s="359"/>
      <c r="G54" s="359"/>
      <c r="H54" s="142" t="s">
        <v>50</v>
      </c>
      <c r="I54" s="142" t="s">
        <v>19</v>
      </c>
      <c r="J54" s="55"/>
    </row>
    <row r="55" spans="1:16" s="223" customFormat="1" ht="13.5" customHeight="1" x14ac:dyDescent="0.25">
      <c r="A55" s="219" t="s">
        <v>2</v>
      </c>
      <c r="B55" s="367" t="s">
        <v>324</v>
      </c>
      <c r="C55" s="367"/>
      <c r="D55" s="367"/>
      <c r="E55" s="367"/>
      <c r="F55" s="367"/>
      <c r="G55" s="367"/>
      <c r="H55" s="225">
        <v>5</v>
      </c>
      <c r="I55" s="226">
        <f>(H55*2*22)-(I28*6%)</f>
        <v>127.33582378</v>
      </c>
      <c r="J55" s="227"/>
      <c r="K55" s="224"/>
      <c r="L55" s="222"/>
      <c r="M55" s="222"/>
      <c r="N55" s="222"/>
      <c r="O55" s="222"/>
      <c r="P55" s="222"/>
    </row>
    <row r="56" spans="1:16" s="223" customFormat="1" ht="13.5" customHeight="1" x14ac:dyDescent="0.25">
      <c r="A56" s="219" t="s">
        <v>4</v>
      </c>
      <c r="B56" s="367" t="s">
        <v>322</v>
      </c>
      <c r="C56" s="367"/>
      <c r="D56" s="367"/>
      <c r="E56" s="367"/>
      <c r="F56" s="367"/>
      <c r="G56" s="367"/>
      <c r="H56" s="225">
        <v>412.05</v>
      </c>
      <c r="I56" s="220">
        <f>H56</f>
        <v>412.05</v>
      </c>
      <c r="J56" s="221"/>
      <c r="K56" s="222"/>
      <c r="L56" s="222"/>
      <c r="M56" s="222"/>
      <c r="N56" s="222"/>
      <c r="O56" s="222"/>
      <c r="P56" s="222"/>
    </row>
    <row r="57" spans="1:16" ht="13.5" customHeight="1" x14ac:dyDescent="0.25">
      <c r="A57" s="137" t="s">
        <v>6</v>
      </c>
      <c r="B57" s="369" t="s">
        <v>310</v>
      </c>
      <c r="C57" s="369"/>
      <c r="D57" s="369"/>
      <c r="E57" s="369"/>
      <c r="F57" s="369"/>
      <c r="G57" s="369"/>
      <c r="H57" s="73">
        <v>141.68</v>
      </c>
      <c r="I57" s="177">
        <f>(H57*40%)</f>
        <v>56.672000000000004</v>
      </c>
      <c r="J57" s="57"/>
      <c r="K57" s="166"/>
    </row>
    <row r="58" spans="1:16" ht="13.5" customHeight="1" x14ac:dyDescent="0.25">
      <c r="A58" s="136" t="s">
        <v>8</v>
      </c>
      <c r="B58" s="368" t="s">
        <v>252</v>
      </c>
      <c r="C58" s="368"/>
      <c r="D58" s="368"/>
      <c r="E58" s="368"/>
      <c r="F58" s="368"/>
      <c r="G58" s="368"/>
      <c r="H58" s="73">
        <f>I35</f>
        <v>1544.4029370000001</v>
      </c>
      <c r="I58" s="74">
        <f>(H58*26)*0.002/12</f>
        <v>6.6924127270000007</v>
      </c>
      <c r="J58" s="72"/>
    </row>
    <row r="59" spans="1:16" ht="13.5" customHeight="1" x14ac:dyDescent="0.25">
      <c r="A59" s="137" t="s">
        <v>24</v>
      </c>
      <c r="B59" s="358" t="s">
        <v>203</v>
      </c>
      <c r="C59" s="358"/>
      <c r="D59" s="358"/>
      <c r="E59" s="358"/>
      <c r="F59" s="358"/>
      <c r="G59" s="358"/>
      <c r="H59" s="73">
        <v>0</v>
      </c>
      <c r="I59" s="74">
        <f>(H59*6*0.02)/12</f>
        <v>0</v>
      </c>
      <c r="J59" s="72"/>
    </row>
    <row r="60" spans="1:16" ht="13.5" customHeight="1" x14ac:dyDescent="0.25">
      <c r="A60" s="137" t="s">
        <v>26</v>
      </c>
      <c r="B60" s="369" t="s">
        <v>202</v>
      </c>
      <c r="C60" s="369"/>
      <c r="D60" s="369"/>
      <c r="E60" s="369"/>
      <c r="F60" s="369"/>
      <c r="G60" s="369"/>
      <c r="H60" s="75">
        <v>0</v>
      </c>
      <c r="I60" s="76">
        <f>H60</f>
        <v>0</v>
      </c>
      <c r="J60" s="77"/>
    </row>
    <row r="61" spans="1:16" ht="13.5" customHeight="1" x14ac:dyDescent="0.25">
      <c r="A61" s="137" t="s">
        <v>28</v>
      </c>
      <c r="B61" s="358" t="s">
        <v>51</v>
      </c>
      <c r="C61" s="358"/>
      <c r="D61" s="358"/>
      <c r="E61" s="358"/>
      <c r="F61" s="358"/>
      <c r="G61" s="358"/>
      <c r="H61" s="73">
        <v>0</v>
      </c>
      <c r="I61" s="56">
        <f>H61</f>
        <v>0</v>
      </c>
      <c r="J61" s="57"/>
    </row>
    <row r="62" spans="1:16" s="78" customFormat="1" ht="13.5" customHeight="1" x14ac:dyDescent="0.25">
      <c r="A62" s="146" t="s">
        <v>45</v>
      </c>
      <c r="B62" s="369" t="s">
        <v>209</v>
      </c>
      <c r="C62" s="369"/>
      <c r="D62" s="369"/>
      <c r="E62" s="369"/>
      <c r="F62" s="369"/>
      <c r="G62" s="369"/>
      <c r="H62" s="75">
        <v>0</v>
      </c>
      <c r="I62" s="76">
        <f>H62</f>
        <v>0</v>
      </c>
      <c r="J62" s="77"/>
      <c r="K62" s="32"/>
      <c r="L62" s="32"/>
      <c r="M62" s="32"/>
      <c r="N62" s="32"/>
      <c r="O62" s="32"/>
      <c r="P62" s="32"/>
    </row>
    <row r="63" spans="1:16" ht="13.5" customHeight="1" x14ac:dyDescent="0.25">
      <c r="A63" s="336" t="s">
        <v>52</v>
      </c>
      <c r="B63" s="337"/>
      <c r="C63" s="337"/>
      <c r="D63" s="337"/>
      <c r="E63" s="337"/>
      <c r="F63" s="337"/>
      <c r="G63" s="337"/>
      <c r="H63" s="338"/>
      <c r="I63" s="69">
        <f>TRUNC(SUM(I55:I62),2)</f>
        <v>602.75</v>
      </c>
      <c r="J63" s="70"/>
    </row>
    <row r="64" spans="1:16" ht="12" customHeight="1" x14ac:dyDescent="0.25">
      <c r="A64" s="141"/>
      <c r="B64" s="141"/>
      <c r="C64" s="141"/>
      <c r="D64" s="141"/>
      <c r="E64" s="141"/>
      <c r="F64" s="141"/>
      <c r="G64" s="141"/>
      <c r="H64" s="141"/>
      <c r="I64" s="71"/>
      <c r="J64" s="71"/>
    </row>
    <row r="65" spans="1:16" ht="13.5" customHeight="1" x14ac:dyDescent="0.25">
      <c r="A65" s="335" t="s">
        <v>53</v>
      </c>
      <c r="B65" s="335"/>
      <c r="C65" s="335"/>
      <c r="D65" s="335"/>
      <c r="E65" s="335"/>
      <c r="F65" s="335"/>
      <c r="G65" s="335"/>
      <c r="H65" s="335"/>
      <c r="I65" s="335"/>
      <c r="J65" s="55"/>
    </row>
    <row r="66" spans="1:16" ht="13.5" customHeight="1" x14ac:dyDescent="0.25">
      <c r="A66" s="79" t="s">
        <v>31</v>
      </c>
      <c r="B66" s="368" t="s">
        <v>54</v>
      </c>
      <c r="C66" s="368"/>
      <c r="D66" s="368"/>
      <c r="E66" s="368"/>
      <c r="F66" s="368"/>
      <c r="G66" s="368"/>
      <c r="H66" s="368"/>
      <c r="I66" s="56">
        <f>I41</f>
        <v>300.30057108333335</v>
      </c>
      <c r="J66" s="57"/>
    </row>
    <row r="67" spans="1:16" ht="13.5" customHeight="1" x14ac:dyDescent="0.25">
      <c r="A67" s="79" t="s">
        <v>36</v>
      </c>
      <c r="B67" s="358" t="s">
        <v>55</v>
      </c>
      <c r="C67" s="358"/>
      <c r="D67" s="358"/>
      <c r="E67" s="358"/>
      <c r="F67" s="358"/>
      <c r="G67" s="358"/>
      <c r="H67" s="358"/>
      <c r="I67" s="56">
        <f>I52</f>
        <v>661.87961870030006</v>
      </c>
      <c r="J67" s="57"/>
    </row>
    <row r="68" spans="1:16" ht="13.5" customHeight="1" x14ac:dyDescent="0.25">
      <c r="A68" s="79" t="s">
        <v>48</v>
      </c>
      <c r="B68" s="358" t="s">
        <v>56</v>
      </c>
      <c r="C68" s="358"/>
      <c r="D68" s="358"/>
      <c r="E68" s="358"/>
      <c r="F68" s="358"/>
      <c r="G68" s="358"/>
      <c r="H68" s="358"/>
      <c r="I68" s="56">
        <f>I63</f>
        <v>602.75</v>
      </c>
      <c r="J68" s="57"/>
    </row>
    <row r="69" spans="1:16" ht="13.5" customHeight="1" x14ac:dyDescent="0.25">
      <c r="A69" s="335" t="s">
        <v>57</v>
      </c>
      <c r="B69" s="335"/>
      <c r="C69" s="335"/>
      <c r="D69" s="335"/>
      <c r="E69" s="335"/>
      <c r="F69" s="335"/>
      <c r="G69" s="335"/>
      <c r="H69" s="335"/>
      <c r="I69" s="60">
        <f>SUM(I66:I68)</f>
        <v>1564.9301897836335</v>
      </c>
      <c r="J69" s="61"/>
    </row>
    <row r="70" spans="1:16" x14ac:dyDescent="0.25">
      <c r="A70" s="141"/>
      <c r="B70" s="141"/>
      <c r="C70" s="141"/>
      <c r="D70" s="141"/>
      <c r="E70" s="141"/>
      <c r="F70" s="141"/>
      <c r="G70" s="141"/>
      <c r="H70" s="141"/>
      <c r="I70" s="71"/>
      <c r="J70" s="71"/>
    </row>
    <row r="71" spans="1:16" ht="13.5" customHeight="1" x14ac:dyDescent="0.25">
      <c r="A71" s="347" t="s">
        <v>125</v>
      </c>
      <c r="B71" s="347"/>
      <c r="C71" s="347"/>
      <c r="D71" s="347"/>
      <c r="E71" s="347"/>
      <c r="F71" s="347"/>
      <c r="G71" s="347"/>
      <c r="H71" s="347"/>
      <c r="I71" s="347"/>
      <c r="J71" s="54"/>
    </row>
    <row r="72" spans="1:16" ht="13.5" customHeight="1" x14ac:dyDescent="0.25">
      <c r="A72" s="203">
        <v>3</v>
      </c>
      <c r="B72" s="366" t="s">
        <v>58</v>
      </c>
      <c r="C72" s="366"/>
      <c r="D72" s="366"/>
      <c r="E72" s="366"/>
      <c r="F72" s="366"/>
      <c r="G72" s="366"/>
      <c r="H72" s="203" t="s">
        <v>18</v>
      </c>
      <c r="I72" s="203" t="s">
        <v>19</v>
      </c>
      <c r="J72" s="55"/>
    </row>
    <row r="73" spans="1:16" s="249" customFormat="1" ht="13.5" customHeight="1" x14ac:dyDescent="0.25">
      <c r="A73" s="219" t="s">
        <v>2</v>
      </c>
      <c r="B73" s="367" t="s">
        <v>59</v>
      </c>
      <c r="C73" s="367"/>
      <c r="D73" s="367"/>
      <c r="E73" s="367"/>
      <c r="F73" s="367"/>
      <c r="G73" s="367"/>
      <c r="H73" s="250">
        <f>0.05*(1/12)/30*3</f>
        <v>4.1666666666666664E-4</v>
      </c>
      <c r="I73" s="220">
        <f t="shared" ref="I73:I78" si="1">$I$35*H73</f>
        <v>0.64350122374999996</v>
      </c>
      <c r="J73" s="247"/>
      <c r="K73" s="248"/>
      <c r="L73" s="248"/>
      <c r="M73" s="248"/>
      <c r="N73" s="248"/>
      <c r="O73" s="248"/>
      <c r="P73" s="248"/>
    </row>
    <row r="74" spans="1:16" s="83" customFormat="1" ht="13.5" customHeight="1" x14ac:dyDescent="0.25">
      <c r="A74" s="201" t="s">
        <v>4</v>
      </c>
      <c r="B74" s="364" t="s">
        <v>60</v>
      </c>
      <c r="C74" s="364"/>
      <c r="D74" s="364"/>
      <c r="E74" s="364"/>
      <c r="F74" s="364"/>
      <c r="G74" s="364"/>
      <c r="H74" s="84">
        <f>H51*H73</f>
        <v>3.3333333333333335E-5</v>
      </c>
      <c r="I74" s="81">
        <f t="shared" si="1"/>
        <v>5.1480097900000008E-2</v>
      </c>
      <c r="J74" s="82"/>
      <c r="K74" s="21"/>
      <c r="L74" s="21"/>
      <c r="M74" s="21"/>
      <c r="N74" s="21"/>
      <c r="O74" s="21"/>
      <c r="P74" s="21"/>
    </row>
    <row r="75" spans="1:16" s="83" customFormat="1" ht="13.5" customHeight="1" x14ac:dyDescent="0.25">
      <c r="A75" s="201" t="s">
        <v>6</v>
      </c>
      <c r="B75" s="364" t="s">
        <v>61</v>
      </c>
      <c r="C75" s="364"/>
      <c r="D75" s="364"/>
      <c r="E75" s="364"/>
      <c r="F75" s="364"/>
      <c r="G75" s="364"/>
      <c r="H75" s="84">
        <f>40%*H51*5%</f>
        <v>1.6000000000000001E-3</v>
      </c>
      <c r="I75" s="81">
        <f t="shared" si="1"/>
        <v>2.4710446992000001</v>
      </c>
      <c r="J75" s="82"/>
      <c r="K75" s="21"/>
      <c r="L75" s="21"/>
      <c r="M75" s="21"/>
      <c r="N75" s="21"/>
      <c r="O75" s="21"/>
      <c r="P75" s="21"/>
    </row>
    <row r="76" spans="1:16" s="249" customFormat="1" ht="13.5" customHeight="1" x14ac:dyDescent="0.25">
      <c r="A76" s="219" t="s">
        <v>8</v>
      </c>
      <c r="B76" s="367" t="s">
        <v>62</v>
      </c>
      <c r="C76" s="367"/>
      <c r="D76" s="367"/>
      <c r="E76" s="367"/>
      <c r="F76" s="367"/>
      <c r="G76" s="367"/>
      <c r="H76" s="246">
        <f>(1/30)*7/12*100%/30*3</f>
        <v>1.9444444444444444E-3</v>
      </c>
      <c r="I76" s="220">
        <f t="shared" si="1"/>
        <v>3.0030057108333335</v>
      </c>
      <c r="J76" s="247"/>
      <c r="K76" s="248"/>
      <c r="L76" s="248"/>
      <c r="M76" s="248"/>
      <c r="N76" s="248"/>
      <c r="O76" s="248"/>
      <c r="P76" s="248"/>
    </row>
    <row r="77" spans="1:16" s="83" customFormat="1" ht="13.5" customHeight="1" x14ac:dyDescent="0.25">
      <c r="A77" s="201" t="s">
        <v>24</v>
      </c>
      <c r="B77" s="364" t="s">
        <v>63</v>
      </c>
      <c r="C77" s="364"/>
      <c r="D77" s="364"/>
      <c r="E77" s="364"/>
      <c r="F77" s="364"/>
      <c r="G77" s="364"/>
      <c r="H77" s="85">
        <f>H52*H76</f>
        <v>6.9766666666666675E-4</v>
      </c>
      <c r="I77" s="81">
        <f t="shared" si="1"/>
        <v>1.0774784490470002</v>
      </c>
      <c r="J77" s="82"/>
      <c r="K77" s="21"/>
      <c r="L77" s="21"/>
      <c r="M77" s="21"/>
      <c r="N77" s="21"/>
      <c r="O77" s="21"/>
      <c r="P77" s="21"/>
    </row>
    <row r="78" spans="1:16" s="83" customFormat="1" ht="13.5" customHeight="1" x14ac:dyDescent="0.25">
      <c r="A78" s="201" t="s">
        <v>26</v>
      </c>
      <c r="B78" s="364" t="s">
        <v>64</v>
      </c>
      <c r="C78" s="364"/>
      <c r="D78" s="364"/>
      <c r="E78" s="364"/>
      <c r="F78" s="364"/>
      <c r="G78" s="364"/>
      <c r="H78" s="80">
        <f>40%*H51*95%</f>
        <v>3.04E-2</v>
      </c>
      <c r="I78" s="81">
        <f t="shared" si="1"/>
        <v>46.949849284800003</v>
      </c>
      <c r="J78" s="82"/>
      <c r="K78" s="129"/>
      <c r="L78" s="21"/>
      <c r="M78" s="21"/>
      <c r="N78" s="21"/>
      <c r="O78" s="21"/>
      <c r="P78" s="21"/>
    </row>
    <row r="79" spans="1:16" ht="13.5" customHeight="1" x14ac:dyDescent="0.25">
      <c r="A79" s="336" t="s">
        <v>65</v>
      </c>
      <c r="B79" s="337"/>
      <c r="C79" s="337"/>
      <c r="D79" s="337"/>
      <c r="E79" s="337"/>
      <c r="F79" s="337"/>
      <c r="G79" s="338"/>
      <c r="H79" s="63">
        <f>SUM(H73:H78)</f>
        <v>3.5092111111111109E-2</v>
      </c>
      <c r="I79" s="60">
        <f>SUM(I73:I78)</f>
        <v>54.196359465530335</v>
      </c>
      <c r="J79" s="61"/>
    </row>
    <row r="80" spans="1:16" x14ac:dyDescent="0.25">
      <c r="A80" s="141"/>
      <c r="B80" s="365"/>
      <c r="C80" s="365"/>
      <c r="D80" s="365"/>
      <c r="E80" s="365"/>
      <c r="F80" s="365"/>
      <c r="G80" s="365"/>
      <c r="H80" s="365"/>
      <c r="I80" s="144"/>
      <c r="J80" s="144"/>
    </row>
    <row r="81" spans="1:16" ht="13.5" customHeight="1" x14ac:dyDescent="0.25">
      <c r="A81" s="347" t="s">
        <v>126</v>
      </c>
      <c r="B81" s="347"/>
      <c r="C81" s="347"/>
      <c r="D81" s="347"/>
      <c r="E81" s="347"/>
      <c r="F81" s="347"/>
      <c r="G81" s="347"/>
      <c r="H81" s="347"/>
      <c r="I81" s="347"/>
      <c r="J81" s="54"/>
    </row>
    <row r="82" spans="1:16" ht="13.5" customHeight="1" x14ac:dyDescent="0.25">
      <c r="A82" s="142" t="s">
        <v>66</v>
      </c>
      <c r="B82" s="359" t="s">
        <v>67</v>
      </c>
      <c r="C82" s="359"/>
      <c r="D82" s="359"/>
      <c r="E82" s="359"/>
      <c r="F82" s="359"/>
      <c r="G82" s="359"/>
      <c r="H82" s="142" t="s">
        <v>18</v>
      </c>
      <c r="I82" s="142" t="s">
        <v>19</v>
      </c>
      <c r="J82" s="55"/>
    </row>
    <row r="83" spans="1:16" ht="13.5" customHeight="1" x14ac:dyDescent="0.25">
      <c r="A83" s="137" t="s">
        <v>2</v>
      </c>
      <c r="B83" s="334" t="s">
        <v>68</v>
      </c>
      <c r="C83" s="334"/>
      <c r="D83" s="334"/>
      <c r="E83" s="334"/>
      <c r="F83" s="334"/>
      <c r="G83" s="334"/>
      <c r="H83" s="86">
        <f>(( 1+1/3)/12)/12</f>
        <v>9.2592592592592587E-3</v>
      </c>
      <c r="I83" s="56">
        <f>SUM($I$35,$I$69,$I$79)*H83</f>
        <v>29.29193968749226</v>
      </c>
      <c r="J83" s="57"/>
    </row>
    <row r="84" spans="1:16" s="223" customFormat="1" ht="13.5" customHeight="1" x14ac:dyDescent="0.25">
      <c r="A84" s="219" t="s">
        <v>4</v>
      </c>
      <c r="B84" s="355" t="s">
        <v>69</v>
      </c>
      <c r="C84" s="355"/>
      <c r="D84" s="355"/>
      <c r="E84" s="355"/>
      <c r="F84" s="355"/>
      <c r="G84" s="355"/>
      <c r="H84" s="250">
        <v>0</v>
      </c>
      <c r="I84" s="220">
        <f>SUM($I$35,$I$69,$I$79)*H84</f>
        <v>0</v>
      </c>
      <c r="J84" s="221"/>
      <c r="K84" s="222"/>
      <c r="L84" s="222"/>
      <c r="M84" s="222"/>
      <c r="N84" s="222"/>
      <c r="O84" s="222"/>
      <c r="P84" s="222"/>
    </row>
    <row r="85" spans="1:16" s="223" customFormat="1" ht="13.5" customHeight="1" x14ac:dyDescent="0.25">
      <c r="A85" s="219" t="s">
        <v>6</v>
      </c>
      <c r="B85" s="355" t="s">
        <v>70</v>
      </c>
      <c r="C85" s="355"/>
      <c r="D85" s="355"/>
      <c r="E85" s="355"/>
      <c r="F85" s="355"/>
      <c r="G85" s="355"/>
      <c r="H85" s="250">
        <v>0</v>
      </c>
      <c r="I85" s="220">
        <f>SUM($I$35,$I$69,$I$79)*H85</f>
        <v>0</v>
      </c>
      <c r="J85" s="221"/>
      <c r="K85" s="222"/>
      <c r="L85" s="222"/>
      <c r="M85" s="222"/>
      <c r="N85" s="222"/>
      <c r="O85" s="222"/>
      <c r="P85" s="222"/>
    </row>
    <row r="86" spans="1:16" s="223" customFormat="1" ht="13.5" customHeight="1" x14ac:dyDescent="0.25">
      <c r="A86" s="219" t="s">
        <v>8</v>
      </c>
      <c r="B86" s="355" t="s">
        <v>71</v>
      </c>
      <c r="C86" s="355"/>
      <c r="D86" s="355"/>
      <c r="E86" s="355"/>
      <c r="F86" s="355"/>
      <c r="G86" s="355"/>
      <c r="H86" s="250">
        <v>0</v>
      </c>
      <c r="I86" s="220">
        <f>SUM($I$35,$I$69,$I$79)*H86</f>
        <v>0</v>
      </c>
      <c r="J86" s="221"/>
      <c r="K86" s="222"/>
      <c r="L86" s="222"/>
      <c r="M86" s="222"/>
      <c r="N86" s="222"/>
      <c r="O86" s="222"/>
      <c r="P86" s="222"/>
    </row>
    <row r="87" spans="1:16" s="223" customFormat="1" ht="13.5" customHeight="1" x14ac:dyDescent="0.25">
      <c r="A87" s="219" t="s">
        <v>24</v>
      </c>
      <c r="B87" s="355" t="s">
        <v>72</v>
      </c>
      <c r="C87" s="355"/>
      <c r="D87" s="355"/>
      <c r="E87" s="355"/>
      <c r="F87" s="355"/>
      <c r="G87" s="355"/>
      <c r="H87" s="250">
        <v>0</v>
      </c>
      <c r="I87" s="220">
        <f>SUM($I$35,$I$69,$I$79)*H87</f>
        <v>0</v>
      </c>
      <c r="J87" s="221"/>
      <c r="K87" s="222"/>
      <c r="L87" s="222"/>
      <c r="M87" s="222"/>
      <c r="N87" s="222"/>
      <c r="O87" s="222"/>
      <c r="P87" s="222"/>
    </row>
    <row r="88" spans="1:16" s="223" customFormat="1" ht="13.5" customHeight="1" x14ac:dyDescent="0.25">
      <c r="A88" s="219" t="s">
        <v>26</v>
      </c>
      <c r="B88" s="355" t="s">
        <v>134</v>
      </c>
      <c r="C88" s="355"/>
      <c r="D88" s="355"/>
      <c r="E88" s="355"/>
      <c r="F88" s="355"/>
      <c r="G88" s="355"/>
      <c r="H88" s="246">
        <v>0</v>
      </c>
      <c r="I88" s="220">
        <f t="shared" ref="I88" si="2">SUM($I$35,$I$69,$I$79)*H88</f>
        <v>0</v>
      </c>
      <c r="J88" s="221"/>
      <c r="K88" s="222"/>
      <c r="L88" s="222"/>
      <c r="M88" s="222"/>
      <c r="N88" s="222"/>
      <c r="O88" s="222"/>
      <c r="P88" s="222"/>
    </row>
    <row r="89" spans="1:16" ht="13.5" customHeight="1" x14ac:dyDescent="0.25">
      <c r="A89" s="87"/>
      <c r="B89" s="359" t="s">
        <v>73</v>
      </c>
      <c r="C89" s="359"/>
      <c r="D89" s="359"/>
      <c r="E89" s="359"/>
      <c r="F89" s="359"/>
      <c r="G89" s="359"/>
      <c r="H89" s="88">
        <f>SUM(H83:H88)</f>
        <v>9.2592592592592587E-3</v>
      </c>
      <c r="I89" s="64">
        <f>SUM(I83:I88)</f>
        <v>29.29193968749226</v>
      </c>
      <c r="J89" s="65"/>
      <c r="K89" s="31"/>
      <c r="L89" s="33"/>
      <c r="M89" s="34"/>
    </row>
    <row r="90" spans="1:16" ht="5.25" customHeight="1" x14ac:dyDescent="0.25">
      <c r="A90" s="89"/>
      <c r="B90" s="329"/>
      <c r="C90" s="329"/>
      <c r="D90" s="329"/>
      <c r="E90" s="329"/>
      <c r="F90" s="329"/>
      <c r="G90" s="330"/>
      <c r="H90" s="330"/>
      <c r="I90" s="72"/>
      <c r="J90" s="72"/>
    </row>
    <row r="91" spans="1:16" ht="13.5" customHeight="1" x14ac:dyDescent="0.25">
      <c r="A91" s="142" t="s">
        <v>74</v>
      </c>
      <c r="B91" s="360" t="s">
        <v>75</v>
      </c>
      <c r="C91" s="361"/>
      <c r="D91" s="361"/>
      <c r="E91" s="361"/>
      <c r="F91" s="361"/>
      <c r="G91" s="361"/>
      <c r="H91" s="362"/>
      <c r="I91" s="142" t="s">
        <v>19</v>
      </c>
      <c r="J91" s="55"/>
    </row>
    <row r="92" spans="1:16" ht="13.5" customHeight="1" x14ac:dyDescent="0.25">
      <c r="A92" s="137" t="s">
        <v>2</v>
      </c>
      <c r="B92" s="339" t="s">
        <v>208</v>
      </c>
      <c r="C92" s="340"/>
      <c r="D92" s="340"/>
      <c r="E92" s="340"/>
      <c r="F92" s="340"/>
      <c r="G92" s="340"/>
      <c r="H92" s="363"/>
      <c r="I92" s="90">
        <v>0</v>
      </c>
      <c r="J92" s="91"/>
    </row>
    <row r="93" spans="1:16" ht="13.5" customHeight="1" x14ac:dyDescent="0.25">
      <c r="A93" s="87"/>
      <c r="B93" s="336" t="s">
        <v>76</v>
      </c>
      <c r="C93" s="337"/>
      <c r="D93" s="337"/>
      <c r="E93" s="337"/>
      <c r="F93" s="337"/>
      <c r="G93" s="337"/>
      <c r="H93" s="338"/>
      <c r="I93" s="64">
        <f>SUM(I92)</f>
        <v>0</v>
      </c>
      <c r="J93" s="65"/>
    </row>
    <row r="94" spans="1:16" x14ac:dyDescent="0.25">
      <c r="A94" s="89"/>
      <c r="B94" s="329"/>
      <c r="C94" s="329"/>
      <c r="D94" s="329"/>
      <c r="E94" s="329"/>
      <c r="F94" s="329"/>
      <c r="G94" s="330"/>
      <c r="H94" s="330"/>
      <c r="I94" s="72"/>
      <c r="J94" s="72"/>
    </row>
    <row r="95" spans="1:16" ht="13.5" customHeight="1" x14ac:dyDescent="0.25">
      <c r="A95" s="356" t="s">
        <v>77</v>
      </c>
      <c r="B95" s="356"/>
      <c r="C95" s="356"/>
      <c r="D95" s="356"/>
      <c r="E95" s="356"/>
      <c r="F95" s="356"/>
      <c r="G95" s="356"/>
      <c r="H95" s="356"/>
      <c r="I95" s="356"/>
      <c r="J95" s="49"/>
    </row>
    <row r="96" spans="1:16" ht="13.5" customHeight="1" x14ac:dyDescent="0.25">
      <c r="A96" s="79" t="s">
        <v>66</v>
      </c>
      <c r="B96" s="357" t="s">
        <v>69</v>
      </c>
      <c r="C96" s="357"/>
      <c r="D96" s="357"/>
      <c r="E96" s="357"/>
      <c r="F96" s="357"/>
      <c r="G96" s="357"/>
      <c r="H96" s="357"/>
      <c r="I96" s="56">
        <f>I89</f>
        <v>29.29193968749226</v>
      </c>
      <c r="J96" s="57"/>
    </row>
    <row r="97" spans="1:16" ht="13.5" customHeight="1" x14ac:dyDescent="0.25">
      <c r="A97" s="79" t="s">
        <v>74</v>
      </c>
      <c r="B97" s="358" t="s">
        <v>78</v>
      </c>
      <c r="C97" s="358"/>
      <c r="D97" s="358"/>
      <c r="E97" s="358"/>
      <c r="F97" s="358"/>
      <c r="G97" s="358"/>
      <c r="H97" s="358"/>
      <c r="I97" s="56">
        <f>I93</f>
        <v>0</v>
      </c>
      <c r="J97" s="57"/>
    </row>
    <row r="98" spans="1:16" ht="13.5" customHeight="1" x14ac:dyDescent="0.25">
      <c r="A98" s="335" t="s">
        <v>79</v>
      </c>
      <c r="B98" s="335"/>
      <c r="C98" s="335"/>
      <c r="D98" s="335"/>
      <c r="E98" s="335"/>
      <c r="F98" s="335"/>
      <c r="G98" s="335"/>
      <c r="H98" s="335"/>
      <c r="I98" s="60">
        <f>SUM(I96:I97)</f>
        <v>29.29193968749226</v>
      </c>
      <c r="J98" s="61"/>
    </row>
    <row r="99" spans="1:16" x14ac:dyDescent="0.25">
      <c r="A99" s="89"/>
      <c r="B99" s="329"/>
      <c r="C99" s="329"/>
      <c r="D99" s="329"/>
      <c r="E99" s="329"/>
      <c r="F99" s="329"/>
      <c r="G99" s="330"/>
      <c r="H99" s="330"/>
      <c r="I99" s="72"/>
      <c r="J99" s="72"/>
    </row>
    <row r="100" spans="1:16" ht="13.5" customHeight="1" x14ac:dyDescent="0.25">
      <c r="A100" s="347" t="s">
        <v>128</v>
      </c>
      <c r="B100" s="347"/>
      <c r="C100" s="347"/>
      <c r="D100" s="347"/>
      <c r="E100" s="347"/>
      <c r="F100" s="347"/>
      <c r="G100" s="347"/>
      <c r="H100" s="347"/>
      <c r="I100" s="347"/>
      <c r="J100" s="54"/>
    </row>
    <row r="101" spans="1:16" ht="13.5" customHeight="1" x14ac:dyDescent="0.25">
      <c r="A101" s="142">
        <v>5</v>
      </c>
      <c r="B101" s="335" t="s">
        <v>80</v>
      </c>
      <c r="C101" s="335"/>
      <c r="D101" s="335"/>
      <c r="E101" s="335"/>
      <c r="F101" s="335"/>
      <c r="G101" s="335"/>
      <c r="H101" s="335"/>
      <c r="I101" s="142" t="s">
        <v>19</v>
      </c>
      <c r="J101" s="55"/>
    </row>
    <row r="102" spans="1:16" ht="13.5" customHeight="1" x14ac:dyDescent="0.25">
      <c r="A102" s="137" t="s">
        <v>2</v>
      </c>
      <c r="B102" s="349" t="s">
        <v>142</v>
      </c>
      <c r="C102" s="349"/>
      <c r="D102" s="349"/>
      <c r="E102" s="349"/>
      <c r="F102" s="349"/>
      <c r="G102" s="349"/>
      <c r="H102" s="349"/>
      <c r="I102" s="92">
        <f>(UNIF!G44+UNIF!G59)/2</f>
        <v>70.03164653219622</v>
      </c>
      <c r="J102" s="93"/>
    </row>
    <row r="103" spans="1:16" ht="13.5" customHeight="1" x14ac:dyDescent="0.25">
      <c r="A103" s="137" t="s">
        <v>4</v>
      </c>
      <c r="B103" s="349" t="s">
        <v>81</v>
      </c>
      <c r="C103" s="349"/>
      <c r="D103" s="349"/>
      <c r="E103" s="349"/>
      <c r="F103" s="349"/>
      <c r="G103" s="349"/>
      <c r="H103" s="349"/>
      <c r="I103" s="92">
        <v>0</v>
      </c>
      <c r="J103" s="93"/>
    </row>
    <row r="104" spans="1:16" ht="13.5" customHeight="1" x14ac:dyDescent="0.25">
      <c r="A104" s="137" t="s">
        <v>6</v>
      </c>
      <c r="B104" s="349" t="s">
        <v>206</v>
      </c>
      <c r="C104" s="349"/>
      <c r="D104" s="349"/>
      <c r="E104" s="349"/>
      <c r="F104" s="349"/>
      <c r="G104" s="349"/>
      <c r="H104" s="349"/>
      <c r="I104" s="92">
        <v>0</v>
      </c>
      <c r="J104" s="93"/>
    </row>
    <row r="105" spans="1:16" s="78" customFormat="1" ht="13.5" customHeight="1" x14ac:dyDescent="0.25">
      <c r="A105" s="146" t="s">
        <v>8</v>
      </c>
      <c r="B105" s="350" t="s">
        <v>132</v>
      </c>
      <c r="C105" s="351"/>
      <c r="D105" s="351"/>
      <c r="E105" s="351"/>
      <c r="F105" s="351"/>
      <c r="G105" s="351"/>
      <c r="H105" s="352"/>
      <c r="I105" s="76">
        <v>0</v>
      </c>
      <c r="J105" s="77"/>
      <c r="K105" s="32"/>
      <c r="L105" s="32"/>
      <c r="M105" s="32"/>
      <c r="N105" s="32"/>
      <c r="O105" s="32"/>
      <c r="P105" s="32"/>
    </row>
    <row r="106" spans="1:16" ht="13.5" customHeight="1" x14ac:dyDescent="0.25">
      <c r="A106" s="335" t="s">
        <v>82</v>
      </c>
      <c r="B106" s="335"/>
      <c r="C106" s="335"/>
      <c r="D106" s="335"/>
      <c r="E106" s="335"/>
      <c r="F106" s="335"/>
      <c r="G106" s="335"/>
      <c r="H106" s="335"/>
      <c r="I106" s="60">
        <f>SUM(I102:I105)</f>
        <v>70.03164653219622</v>
      </c>
      <c r="J106" s="61"/>
    </row>
    <row r="107" spans="1:16" x14ac:dyDescent="0.25">
      <c r="A107" s="353"/>
      <c r="B107" s="353"/>
      <c r="C107" s="353"/>
      <c r="D107" s="353"/>
      <c r="E107" s="353"/>
      <c r="F107" s="353"/>
      <c r="G107" s="354"/>
      <c r="H107" s="354"/>
      <c r="I107" s="66"/>
      <c r="J107" s="66"/>
    </row>
    <row r="108" spans="1:16" ht="13.5" customHeight="1" x14ac:dyDescent="0.25">
      <c r="A108" s="347" t="s">
        <v>129</v>
      </c>
      <c r="B108" s="347"/>
      <c r="C108" s="347"/>
      <c r="D108" s="347"/>
      <c r="E108" s="347"/>
      <c r="F108" s="347"/>
      <c r="G108" s="347"/>
      <c r="H108" s="347"/>
      <c r="I108" s="347"/>
      <c r="J108" s="54"/>
    </row>
    <row r="109" spans="1:16" ht="13.5" customHeight="1" x14ac:dyDescent="0.25">
      <c r="A109" s="142">
        <v>6</v>
      </c>
      <c r="B109" s="335" t="s">
        <v>83</v>
      </c>
      <c r="C109" s="335"/>
      <c r="D109" s="335"/>
      <c r="E109" s="335"/>
      <c r="F109" s="335"/>
      <c r="G109" s="335"/>
      <c r="H109" s="142" t="s">
        <v>18</v>
      </c>
      <c r="I109" s="142" t="s">
        <v>19</v>
      </c>
      <c r="J109" s="55"/>
    </row>
    <row r="110" spans="1:16" s="83" customFormat="1" ht="13.5" customHeight="1" x14ac:dyDescent="0.25">
      <c r="A110" s="145" t="s">
        <v>2</v>
      </c>
      <c r="B110" s="348" t="s">
        <v>84</v>
      </c>
      <c r="C110" s="348"/>
      <c r="D110" s="348"/>
      <c r="E110" s="348"/>
      <c r="F110" s="348"/>
      <c r="G110" s="348"/>
      <c r="H110" s="94">
        <v>1.4999999999999999E-2</v>
      </c>
      <c r="I110" s="95">
        <f>SUM($I$129)*H110</f>
        <v>48.942796087032789</v>
      </c>
      <c r="J110" s="96"/>
      <c r="K110" s="178" t="s">
        <v>312</v>
      </c>
      <c r="L110" s="180">
        <v>2820.6</v>
      </c>
      <c r="M110" s="180"/>
      <c r="N110" s="21"/>
      <c r="O110" s="21"/>
      <c r="P110" s="21"/>
    </row>
    <row r="111" spans="1:16" s="83" customFormat="1" ht="13.5" customHeight="1" x14ac:dyDescent="0.25">
      <c r="A111" s="145" t="s">
        <v>4</v>
      </c>
      <c r="B111" s="348" t="s">
        <v>85</v>
      </c>
      <c r="C111" s="348"/>
      <c r="D111" s="348"/>
      <c r="E111" s="348"/>
      <c r="F111" s="348"/>
      <c r="G111" s="348"/>
      <c r="H111" s="94">
        <v>1.3220000000000001E-2</v>
      </c>
      <c r="I111" s="95">
        <f>SUM($I$129,I110)*H111</f>
        <v>43.781941382308808</v>
      </c>
      <c r="J111" s="96"/>
      <c r="K111" s="178" t="s">
        <v>313</v>
      </c>
      <c r="L111" s="180">
        <f>PROPOSTA!I49</f>
        <v>3589.08</v>
      </c>
      <c r="M111" s="180"/>
      <c r="N111" s="21"/>
      <c r="O111" s="21"/>
      <c r="P111" s="21"/>
    </row>
    <row r="112" spans="1:16" ht="13.5" customHeight="1" x14ac:dyDescent="0.25">
      <c r="A112" s="137"/>
      <c r="B112" s="342"/>
      <c r="C112" s="342"/>
      <c r="D112" s="342"/>
      <c r="E112" s="343" t="s">
        <v>86</v>
      </c>
      <c r="F112" s="343"/>
      <c r="G112" s="343"/>
      <c r="H112" s="343"/>
      <c r="I112" s="97"/>
      <c r="J112" s="98"/>
      <c r="L112" s="181">
        <f>L110-L111</f>
        <v>-768.48</v>
      </c>
      <c r="M112" s="181"/>
    </row>
    <row r="113" spans="1:10" ht="13.5" customHeight="1" x14ac:dyDescent="0.25">
      <c r="A113" s="137" t="s">
        <v>6</v>
      </c>
      <c r="B113" s="344" t="s">
        <v>87</v>
      </c>
      <c r="C113" s="344"/>
      <c r="D113" s="344"/>
      <c r="E113" s="345">
        <f>SUM(H115,H116,H119)</f>
        <v>6.5060000000000007E-2</v>
      </c>
      <c r="F113" s="346"/>
      <c r="G113" s="345">
        <f>1-((H115+H116+H119))</f>
        <v>0.93493999999999999</v>
      </c>
      <c r="H113" s="346"/>
      <c r="I113" s="99"/>
      <c r="J113" s="100"/>
    </row>
    <row r="114" spans="1:10" ht="13.5" customHeight="1" x14ac:dyDescent="0.25">
      <c r="A114" s="137" t="s">
        <v>88</v>
      </c>
      <c r="B114" s="339" t="s">
        <v>89</v>
      </c>
      <c r="C114" s="340"/>
      <c r="D114" s="340"/>
      <c r="E114" s="340"/>
      <c r="F114" s="340"/>
      <c r="G114" s="340"/>
      <c r="H114" s="340"/>
      <c r="I114" s="101"/>
      <c r="J114" s="102"/>
    </row>
    <row r="115" spans="1:10" ht="13.5" customHeight="1" x14ac:dyDescent="0.25">
      <c r="A115" s="103" t="s">
        <v>90</v>
      </c>
      <c r="B115" s="341" t="s">
        <v>91</v>
      </c>
      <c r="C115" s="341"/>
      <c r="D115" s="341"/>
      <c r="E115" s="341"/>
      <c r="F115" s="341"/>
      <c r="G115" s="341"/>
      <c r="H115" s="104">
        <v>2.6800000000000001E-3</v>
      </c>
      <c r="I115" s="97">
        <f>SUM($I$129,$I$110,$I$111)*H115/(1-$E$113)</f>
        <v>9.6187440163372635</v>
      </c>
      <c r="J115" s="98"/>
    </row>
    <row r="116" spans="1:10" ht="13.5" customHeight="1" x14ac:dyDescent="0.25">
      <c r="A116" s="103" t="s">
        <v>92</v>
      </c>
      <c r="B116" s="341" t="s">
        <v>93</v>
      </c>
      <c r="C116" s="341"/>
      <c r="D116" s="341"/>
      <c r="E116" s="341"/>
      <c r="F116" s="341"/>
      <c r="G116" s="341"/>
      <c r="H116" s="104">
        <v>1.238E-2</v>
      </c>
      <c r="I116" s="97">
        <f>SUM($I$129,$I$110,$I$111)*H116/(1-$E$113)</f>
        <v>44.432854821737067</v>
      </c>
      <c r="J116" s="98"/>
    </row>
    <row r="117" spans="1:10" ht="13.5" customHeight="1" x14ac:dyDescent="0.25">
      <c r="A117" s="137" t="s">
        <v>94</v>
      </c>
      <c r="B117" s="339" t="s">
        <v>95</v>
      </c>
      <c r="C117" s="340"/>
      <c r="D117" s="340"/>
      <c r="E117" s="340"/>
      <c r="F117" s="340"/>
      <c r="G117" s="340"/>
      <c r="H117" s="340"/>
      <c r="I117" s="101"/>
      <c r="J117" s="102"/>
    </row>
    <row r="118" spans="1:10" ht="13.5" customHeight="1" x14ac:dyDescent="0.25">
      <c r="A118" s="137" t="s">
        <v>96</v>
      </c>
      <c r="B118" s="339" t="s">
        <v>97</v>
      </c>
      <c r="C118" s="340"/>
      <c r="D118" s="340"/>
      <c r="E118" s="340"/>
      <c r="F118" s="340"/>
      <c r="G118" s="340"/>
      <c r="H118" s="340"/>
      <c r="I118" s="101"/>
      <c r="J118" s="102"/>
    </row>
    <row r="119" spans="1:10" ht="13.5" customHeight="1" x14ac:dyDescent="0.25">
      <c r="A119" s="103" t="s">
        <v>98</v>
      </c>
      <c r="B119" s="341" t="s">
        <v>99</v>
      </c>
      <c r="C119" s="341"/>
      <c r="D119" s="341"/>
      <c r="E119" s="341"/>
      <c r="F119" s="341"/>
      <c r="G119" s="341"/>
      <c r="H119" s="105">
        <v>0.05</v>
      </c>
      <c r="I119" s="97">
        <f>SUM($I$129,$I$110,$I$111)*H119/(1-$E$113)</f>
        <v>179.45417940927734</v>
      </c>
      <c r="J119" s="98"/>
    </row>
    <row r="120" spans="1:10" ht="13.5" customHeight="1" x14ac:dyDescent="0.25">
      <c r="A120" s="335" t="s">
        <v>100</v>
      </c>
      <c r="B120" s="335"/>
      <c r="C120" s="335"/>
      <c r="D120" s="335"/>
      <c r="E120" s="335"/>
      <c r="F120" s="335"/>
      <c r="G120" s="335"/>
      <c r="H120" s="335"/>
      <c r="I120" s="60">
        <f>SUM(I110:I119)</f>
        <v>326.23051571669328</v>
      </c>
      <c r="J120" s="61"/>
    </row>
    <row r="121" spans="1:10" x14ac:dyDescent="0.25">
      <c r="A121" s="89"/>
      <c r="B121" s="329"/>
      <c r="C121" s="329"/>
      <c r="D121" s="329"/>
      <c r="E121" s="329"/>
      <c r="F121" s="329"/>
      <c r="G121" s="330"/>
      <c r="H121" s="330"/>
      <c r="I121" s="72"/>
      <c r="J121" s="72"/>
    </row>
    <row r="122" spans="1:10" ht="13.5" customHeight="1" x14ac:dyDescent="0.25">
      <c r="A122" s="325" t="s">
        <v>101</v>
      </c>
      <c r="B122" s="325"/>
      <c r="C122" s="325"/>
      <c r="D122" s="325"/>
      <c r="E122" s="325"/>
      <c r="F122" s="325"/>
      <c r="G122" s="325"/>
      <c r="H122" s="325"/>
      <c r="I122" s="325"/>
      <c r="J122" s="106"/>
    </row>
    <row r="123" spans="1:10" ht="13.5" customHeight="1" x14ac:dyDescent="0.25">
      <c r="A123" s="142"/>
      <c r="B123" s="336" t="s">
        <v>102</v>
      </c>
      <c r="C123" s="337"/>
      <c r="D123" s="337"/>
      <c r="E123" s="337"/>
      <c r="F123" s="337"/>
      <c r="G123" s="337"/>
      <c r="H123" s="338"/>
      <c r="I123" s="142" t="s">
        <v>19</v>
      </c>
      <c r="J123" s="55"/>
    </row>
    <row r="124" spans="1:10" ht="13.5" customHeight="1" x14ac:dyDescent="0.25">
      <c r="A124" s="137" t="s">
        <v>2</v>
      </c>
      <c r="B124" s="333" t="s">
        <v>103</v>
      </c>
      <c r="C124" s="333"/>
      <c r="D124" s="333"/>
      <c r="E124" s="333"/>
      <c r="F124" s="333"/>
      <c r="G124" s="333"/>
      <c r="H124" s="333"/>
      <c r="I124" s="56">
        <f>I35</f>
        <v>1544.4029370000001</v>
      </c>
      <c r="J124" s="57"/>
    </row>
    <row r="125" spans="1:10" ht="13.5" customHeight="1" x14ac:dyDescent="0.25">
      <c r="A125" s="137" t="s">
        <v>4</v>
      </c>
      <c r="B125" s="333" t="s">
        <v>104</v>
      </c>
      <c r="C125" s="333"/>
      <c r="D125" s="333"/>
      <c r="E125" s="333"/>
      <c r="F125" s="333"/>
      <c r="G125" s="333"/>
      <c r="H125" s="333"/>
      <c r="I125" s="56">
        <f>I69</f>
        <v>1564.9301897836335</v>
      </c>
      <c r="J125" s="57"/>
    </row>
    <row r="126" spans="1:10" ht="13.5" customHeight="1" x14ac:dyDescent="0.25">
      <c r="A126" s="137" t="s">
        <v>6</v>
      </c>
      <c r="B126" s="333" t="s">
        <v>105</v>
      </c>
      <c r="C126" s="333"/>
      <c r="D126" s="333"/>
      <c r="E126" s="333"/>
      <c r="F126" s="333"/>
      <c r="G126" s="333"/>
      <c r="H126" s="333"/>
      <c r="I126" s="56">
        <f>I79</f>
        <v>54.196359465530335</v>
      </c>
      <c r="J126" s="57"/>
    </row>
    <row r="127" spans="1:10" ht="13.5" customHeight="1" x14ac:dyDescent="0.25">
      <c r="A127" s="137" t="s">
        <v>8</v>
      </c>
      <c r="B127" s="333" t="s">
        <v>106</v>
      </c>
      <c r="C127" s="333"/>
      <c r="D127" s="333"/>
      <c r="E127" s="333"/>
      <c r="F127" s="333"/>
      <c r="G127" s="333"/>
      <c r="H127" s="333"/>
      <c r="I127" s="56">
        <f>I98</f>
        <v>29.29193968749226</v>
      </c>
      <c r="J127" s="57"/>
    </row>
    <row r="128" spans="1:10" ht="13.5" customHeight="1" x14ac:dyDescent="0.25">
      <c r="A128" s="137" t="s">
        <v>24</v>
      </c>
      <c r="B128" s="333" t="s">
        <v>107</v>
      </c>
      <c r="C128" s="333"/>
      <c r="D128" s="333"/>
      <c r="E128" s="333"/>
      <c r="F128" s="333"/>
      <c r="G128" s="333"/>
      <c r="H128" s="333"/>
      <c r="I128" s="56">
        <f>I106</f>
        <v>70.03164653219622</v>
      </c>
      <c r="J128" s="57"/>
    </row>
    <row r="129" spans="1:12" ht="13.5" customHeight="1" x14ac:dyDescent="0.25">
      <c r="A129" s="328" t="s">
        <v>108</v>
      </c>
      <c r="B129" s="328"/>
      <c r="C129" s="328"/>
      <c r="D129" s="328"/>
      <c r="E129" s="328"/>
      <c r="F129" s="328"/>
      <c r="G129" s="328"/>
      <c r="H129" s="328"/>
      <c r="I129" s="107">
        <f>SUM(I124:I128)</f>
        <v>3262.8530724688526</v>
      </c>
      <c r="J129" s="108"/>
    </row>
    <row r="130" spans="1:12" ht="13.5" customHeight="1" x14ac:dyDescent="0.25">
      <c r="A130" s="137" t="s">
        <v>26</v>
      </c>
      <c r="B130" s="334" t="s">
        <v>109</v>
      </c>
      <c r="C130" s="334"/>
      <c r="D130" s="334"/>
      <c r="E130" s="334"/>
      <c r="F130" s="334"/>
      <c r="G130" s="334"/>
      <c r="H130" s="334"/>
      <c r="I130" s="56">
        <f>I120</f>
        <v>326.23051571669328</v>
      </c>
      <c r="J130" s="57"/>
    </row>
    <row r="131" spans="1:12" ht="13.5" customHeight="1" x14ac:dyDescent="0.25">
      <c r="A131" s="328" t="s">
        <v>110</v>
      </c>
      <c r="B131" s="328"/>
      <c r="C131" s="328"/>
      <c r="D131" s="328"/>
      <c r="E131" s="328"/>
      <c r="F131" s="328"/>
      <c r="G131" s="328"/>
      <c r="H131" s="328"/>
      <c r="I131" s="109">
        <f>TRUNC(SUM(I129:I130),2)</f>
        <v>3589.08</v>
      </c>
      <c r="J131" s="110"/>
      <c r="K131" s="35">
        <f>SUM(I35,I69,I79,I98,I106,I110,I111)/G113</f>
        <v>3589.0835881855464</v>
      </c>
    </row>
    <row r="132" spans="1:12" ht="13.5" customHeight="1" x14ac:dyDescent="0.25">
      <c r="A132" s="89"/>
      <c r="B132" s="329"/>
      <c r="C132" s="329"/>
      <c r="D132" s="329"/>
      <c r="E132" s="329"/>
      <c r="F132" s="329"/>
      <c r="G132" s="330"/>
      <c r="H132" s="330"/>
      <c r="I132" s="72"/>
      <c r="J132" s="72"/>
    </row>
    <row r="133" spans="1:12" ht="13.5" customHeight="1" x14ac:dyDescent="0.25">
      <c r="A133" s="325" t="s">
        <v>111</v>
      </c>
      <c r="B133" s="325"/>
      <c r="C133" s="325"/>
      <c r="D133" s="325"/>
      <c r="E133" s="325"/>
      <c r="F133" s="325"/>
      <c r="G133" s="325"/>
      <c r="H133" s="325"/>
      <c r="I133" s="325"/>
      <c r="J133" s="106"/>
    </row>
    <row r="134" spans="1:12" ht="36" x14ac:dyDescent="0.25">
      <c r="A134" s="331" t="s">
        <v>112</v>
      </c>
      <c r="B134" s="331"/>
      <c r="C134" s="331"/>
      <c r="D134" s="111" t="s">
        <v>113</v>
      </c>
      <c r="E134" s="138" t="s">
        <v>120</v>
      </c>
      <c r="F134" s="332" t="s">
        <v>121</v>
      </c>
      <c r="G134" s="332"/>
      <c r="H134" s="112" t="s">
        <v>114</v>
      </c>
      <c r="I134" s="113" t="s">
        <v>122</v>
      </c>
      <c r="J134" s="114"/>
    </row>
    <row r="135" spans="1:12" ht="21" customHeight="1" x14ac:dyDescent="0.25">
      <c r="A135" s="136" t="s">
        <v>115</v>
      </c>
      <c r="B135" s="323" t="str">
        <f>H23</f>
        <v>RECEPCIONISTA</v>
      </c>
      <c r="C135" s="323"/>
      <c r="D135" s="115">
        <f>I131</f>
        <v>3589.08</v>
      </c>
      <c r="E135" s="136">
        <v>1</v>
      </c>
      <c r="F135" s="324">
        <f>(D135*E135)</f>
        <v>3589.08</v>
      </c>
      <c r="G135" s="324"/>
      <c r="H135" s="136">
        <f>H18</f>
        <v>1</v>
      </c>
      <c r="I135" s="143">
        <f>F135*H135</f>
        <v>3589.08</v>
      </c>
      <c r="J135" s="116"/>
    </row>
    <row r="136" spans="1:12" ht="13.5" customHeight="1" x14ac:dyDescent="0.25">
      <c r="A136" s="325" t="s">
        <v>116</v>
      </c>
      <c r="B136" s="325"/>
      <c r="C136" s="325"/>
      <c r="D136" s="325"/>
      <c r="E136" s="325"/>
      <c r="F136" s="325"/>
      <c r="G136" s="325"/>
      <c r="H136" s="325"/>
      <c r="I136" s="325"/>
      <c r="J136" s="106"/>
    </row>
    <row r="137" spans="1:12" ht="13.5" customHeight="1" x14ac:dyDescent="0.25">
      <c r="A137" s="136"/>
      <c r="B137" s="326" t="s">
        <v>117</v>
      </c>
      <c r="C137" s="326"/>
      <c r="D137" s="326"/>
      <c r="E137" s="326"/>
      <c r="F137" s="326"/>
      <c r="G137" s="326"/>
      <c r="H137" s="326"/>
      <c r="I137" s="117" t="s">
        <v>19</v>
      </c>
      <c r="J137" s="118"/>
    </row>
    <row r="138" spans="1:12" ht="13.5" customHeight="1" x14ac:dyDescent="0.25">
      <c r="A138" s="125" t="s">
        <v>2</v>
      </c>
      <c r="B138" s="327" t="s">
        <v>118</v>
      </c>
      <c r="C138" s="327"/>
      <c r="D138" s="327"/>
      <c r="E138" s="327"/>
      <c r="F138" s="327"/>
      <c r="G138" s="327"/>
      <c r="H138" s="327"/>
      <c r="I138" s="92">
        <f>F135</f>
        <v>3589.08</v>
      </c>
      <c r="J138" s="93"/>
      <c r="L138" s="35"/>
    </row>
    <row r="139" spans="1:12" ht="13.5" customHeight="1" x14ac:dyDescent="0.25">
      <c r="A139" s="136" t="s">
        <v>4</v>
      </c>
      <c r="B139" s="327" t="s">
        <v>119</v>
      </c>
      <c r="C139" s="327"/>
      <c r="D139" s="327"/>
      <c r="E139" s="327"/>
      <c r="F139" s="327"/>
      <c r="G139" s="327"/>
      <c r="H139" s="327"/>
      <c r="I139" s="92">
        <f>SUM(I138:I138)*H18</f>
        <v>3589.08</v>
      </c>
      <c r="J139" s="93"/>
      <c r="K139" s="122"/>
      <c r="L139" s="119"/>
    </row>
    <row r="140" spans="1:12" ht="13.5" customHeight="1" x14ac:dyDescent="0.25">
      <c r="A140" s="136" t="s">
        <v>6</v>
      </c>
      <c r="B140" s="323" t="s">
        <v>123</v>
      </c>
      <c r="C140" s="323"/>
      <c r="D140" s="323"/>
      <c r="E140" s="323"/>
      <c r="F140" s="323"/>
      <c r="G140" s="323"/>
      <c r="H140" s="323"/>
      <c r="I140" s="120">
        <f>(I139*12)</f>
        <v>43068.959999999999</v>
      </c>
      <c r="J140" s="121"/>
    </row>
    <row r="141" spans="1:12" x14ac:dyDescent="0.25">
      <c r="I141" s="124"/>
    </row>
  </sheetData>
  <sheetProtection formatCells="0" formatColumns="0" formatRows="0" insertColumns="0" insertRows="0" insertHyperlinks="0" deleteColumns="0" deleteRows="0" sort="0" autoFilter="0" pivotTables="0"/>
  <mergeCells count="169">
    <mergeCell ref="A7:I7"/>
    <mergeCell ref="A8:I8"/>
    <mergeCell ref="A9:I9"/>
    <mergeCell ref="A10:I10"/>
    <mergeCell ref="A11:I11"/>
    <mergeCell ref="B12:D12"/>
    <mergeCell ref="E12:I12"/>
    <mergeCell ref="A1:I1"/>
    <mergeCell ref="A2:I2"/>
    <mergeCell ref="A3:I3"/>
    <mergeCell ref="A4:I4"/>
    <mergeCell ref="A5:I5"/>
    <mergeCell ref="A6:I6"/>
    <mergeCell ref="A16:I16"/>
    <mergeCell ref="A17:E17"/>
    <mergeCell ref="F17:G17"/>
    <mergeCell ref="H17:I17"/>
    <mergeCell ref="A18:E18"/>
    <mergeCell ref="F18:G18"/>
    <mergeCell ref="H18:I18"/>
    <mergeCell ref="B13:D13"/>
    <mergeCell ref="E13:I13"/>
    <mergeCell ref="B14:D14"/>
    <mergeCell ref="E14:I14"/>
    <mergeCell ref="B15:D15"/>
    <mergeCell ref="E15:I15"/>
    <mergeCell ref="B23:G23"/>
    <mergeCell ref="H23:I23"/>
    <mergeCell ref="B24:G24"/>
    <mergeCell ref="H24:I24"/>
    <mergeCell ref="A25:I25"/>
    <mergeCell ref="A26:I26"/>
    <mergeCell ref="A19:I19"/>
    <mergeCell ref="B20:G20"/>
    <mergeCell ref="H20:I20"/>
    <mergeCell ref="B21:G21"/>
    <mergeCell ref="H21:I21"/>
    <mergeCell ref="B22:G22"/>
    <mergeCell ref="H22:I22"/>
    <mergeCell ref="B30:F30"/>
    <mergeCell ref="G30:H30"/>
    <mergeCell ref="B31:F31"/>
    <mergeCell ref="G31:H31"/>
    <mergeCell ref="B32:F32"/>
    <mergeCell ref="G32:H32"/>
    <mergeCell ref="B27:F27"/>
    <mergeCell ref="G27:H27"/>
    <mergeCell ref="B28:F28"/>
    <mergeCell ref="G28:H28"/>
    <mergeCell ref="B29:F29"/>
    <mergeCell ref="G29:H29"/>
    <mergeCell ref="A37:I37"/>
    <mergeCell ref="B38:G38"/>
    <mergeCell ref="B39:G39"/>
    <mergeCell ref="B40:G40"/>
    <mergeCell ref="B41:G41"/>
    <mergeCell ref="B43:G43"/>
    <mergeCell ref="B33:F33"/>
    <mergeCell ref="G33:H33"/>
    <mergeCell ref="B34:F34"/>
    <mergeCell ref="G34:H34"/>
    <mergeCell ref="A35:H35"/>
    <mergeCell ref="A36:I36"/>
    <mergeCell ref="B50:G50"/>
    <mergeCell ref="B51:G51"/>
    <mergeCell ref="A52:G52"/>
    <mergeCell ref="B54:G54"/>
    <mergeCell ref="B55:G55"/>
    <mergeCell ref="B56:G56"/>
    <mergeCell ref="B44:G44"/>
    <mergeCell ref="B45:G45"/>
    <mergeCell ref="B46:G46"/>
    <mergeCell ref="B47:G47"/>
    <mergeCell ref="B48:G48"/>
    <mergeCell ref="B49:G49"/>
    <mergeCell ref="A63:H63"/>
    <mergeCell ref="A65:I65"/>
    <mergeCell ref="B66:H66"/>
    <mergeCell ref="B67:H67"/>
    <mergeCell ref="B68:H68"/>
    <mergeCell ref="A69:H69"/>
    <mergeCell ref="B57:G57"/>
    <mergeCell ref="B58:G58"/>
    <mergeCell ref="B59:G59"/>
    <mergeCell ref="B60:G60"/>
    <mergeCell ref="B61:G61"/>
    <mergeCell ref="B62:G62"/>
    <mergeCell ref="B77:G77"/>
    <mergeCell ref="B78:G78"/>
    <mergeCell ref="A79:G79"/>
    <mergeCell ref="B80:F80"/>
    <mergeCell ref="G80:H80"/>
    <mergeCell ref="A81:I81"/>
    <mergeCell ref="A71:I71"/>
    <mergeCell ref="B72:G72"/>
    <mergeCell ref="B73:G73"/>
    <mergeCell ref="B74:G74"/>
    <mergeCell ref="B75:G75"/>
    <mergeCell ref="B76:G76"/>
    <mergeCell ref="B88:G88"/>
    <mergeCell ref="B89:G89"/>
    <mergeCell ref="B90:F90"/>
    <mergeCell ref="G90:H90"/>
    <mergeCell ref="B91:H91"/>
    <mergeCell ref="B92:H92"/>
    <mergeCell ref="B82:G82"/>
    <mergeCell ref="B83:G83"/>
    <mergeCell ref="B84:G84"/>
    <mergeCell ref="B85:G85"/>
    <mergeCell ref="B86:G86"/>
    <mergeCell ref="B87:G87"/>
    <mergeCell ref="A98:H98"/>
    <mergeCell ref="B99:F99"/>
    <mergeCell ref="G99:H99"/>
    <mergeCell ref="A100:I100"/>
    <mergeCell ref="B101:H101"/>
    <mergeCell ref="B102:H102"/>
    <mergeCell ref="B93:H93"/>
    <mergeCell ref="B94:F94"/>
    <mergeCell ref="G94:H94"/>
    <mergeCell ref="A95:I95"/>
    <mergeCell ref="B96:H96"/>
    <mergeCell ref="B97:H97"/>
    <mergeCell ref="A108:I108"/>
    <mergeCell ref="B109:G109"/>
    <mergeCell ref="B110:G110"/>
    <mergeCell ref="B111:G111"/>
    <mergeCell ref="B103:H103"/>
    <mergeCell ref="B104:H104"/>
    <mergeCell ref="B105:H105"/>
    <mergeCell ref="A106:H106"/>
    <mergeCell ref="A107:F107"/>
    <mergeCell ref="G107:H107"/>
    <mergeCell ref="B114:H114"/>
    <mergeCell ref="B115:G115"/>
    <mergeCell ref="B116:G116"/>
    <mergeCell ref="B117:H117"/>
    <mergeCell ref="B118:H118"/>
    <mergeCell ref="B119:G119"/>
    <mergeCell ref="B112:D112"/>
    <mergeCell ref="E112:H112"/>
    <mergeCell ref="B113:D113"/>
    <mergeCell ref="E113:F113"/>
    <mergeCell ref="G113:H113"/>
    <mergeCell ref="B125:H125"/>
    <mergeCell ref="B126:H126"/>
    <mergeCell ref="B127:H127"/>
    <mergeCell ref="B128:H128"/>
    <mergeCell ref="A129:H129"/>
    <mergeCell ref="B130:H130"/>
    <mergeCell ref="A120:H120"/>
    <mergeCell ref="B121:F121"/>
    <mergeCell ref="G121:H121"/>
    <mergeCell ref="A122:I122"/>
    <mergeCell ref="B123:H123"/>
    <mergeCell ref="B124:H124"/>
    <mergeCell ref="B140:H140"/>
    <mergeCell ref="B135:C135"/>
    <mergeCell ref="F135:G135"/>
    <mergeCell ref="A136:I136"/>
    <mergeCell ref="B137:H137"/>
    <mergeCell ref="B138:H138"/>
    <mergeCell ref="B139:H139"/>
    <mergeCell ref="A131:H131"/>
    <mergeCell ref="B132:F132"/>
    <mergeCell ref="G132:H132"/>
    <mergeCell ref="A133:I133"/>
    <mergeCell ref="A134:C134"/>
    <mergeCell ref="F134:G134"/>
  </mergeCells>
  <pageMargins left="0.6692913385826772" right="0.19685039370078741" top="0.78740157480314965" bottom="0.6692913385826772" header="0.11811023622047245" footer="0.11811023622047245"/>
  <pageSetup paperSize="9" scale="75" firstPageNumber="0" fitToHeight="0" orientation="portrait" r:id="rId1"/>
  <headerFooter alignWithMargins="0">
    <oddHeader>&amp;R&amp;G</oddHeader>
    <oddFooter>&amp;L&amp;G</oddFooter>
  </headerFooter>
  <rowBreaks count="1" manualBreakCount="1">
    <brk id="70" max="8" man="1"/>
  </rowBreaks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78"/>
  <sheetViews>
    <sheetView view="pageBreakPreview" topLeftCell="A40" zoomScaleNormal="100" zoomScaleSheetLayoutView="100" workbookViewId="0">
      <selection activeCell="G95" sqref="G95"/>
    </sheetView>
  </sheetViews>
  <sheetFormatPr defaultRowHeight="15" x14ac:dyDescent="0.25"/>
  <cols>
    <col min="1" max="1" width="5.5703125" style="182" customWidth="1"/>
    <col min="2" max="2" width="19.42578125" style="182" customWidth="1"/>
    <col min="3" max="3" width="21.7109375" style="182" customWidth="1"/>
    <col min="4" max="4" width="30.7109375" style="182" customWidth="1"/>
    <col min="5" max="5" width="10.7109375" style="182" customWidth="1"/>
    <col min="6" max="6" width="13.85546875" style="182" customWidth="1"/>
    <col min="7" max="7" width="19.5703125" style="182" customWidth="1"/>
    <col min="8" max="8" width="2.140625" style="182" customWidth="1"/>
    <col min="9" max="9" width="13.42578125" style="182" customWidth="1"/>
    <col min="10" max="1017" width="8.7109375" style="182" customWidth="1"/>
    <col min="1018" max="16384" width="9.140625" style="182"/>
  </cols>
  <sheetData>
    <row r="1" spans="1:9" ht="15.75" x14ac:dyDescent="0.25">
      <c r="A1" s="302" t="s">
        <v>212</v>
      </c>
      <c r="B1" s="302"/>
      <c r="C1" s="302"/>
      <c r="D1" s="302"/>
      <c r="E1" s="302"/>
      <c r="F1" s="302"/>
      <c r="G1" s="302"/>
    </row>
    <row r="2" spans="1:9" ht="15.75" x14ac:dyDescent="0.25">
      <c r="A2" s="302" t="s">
        <v>213</v>
      </c>
      <c r="B2" s="302"/>
      <c r="C2" s="302"/>
      <c r="D2" s="302"/>
      <c r="E2" s="302"/>
      <c r="F2" s="302"/>
      <c r="G2" s="302"/>
    </row>
    <row r="3" spans="1:9" ht="15.75" x14ac:dyDescent="0.25">
      <c r="A3" s="302" t="s">
        <v>215</v>
      </c>
      <c r="B3" s="302"/>
      <c r="C3" s="302"/>
      <c r="D3" s="302"/>
      <c r="E3" s="302"/>
      <c r="F3" s="302"/>
      <c r="G3" s="302"/>
    </row>
    <row r="4" spans="1:9" ht="15.75" x14ac:dyDescent="0.25">
      <c r="A4" s="302" t="s">
        <v>214</v>
      </c>
      <c r="B4" s="302"/>
      <c r="C4" s="302"/>
      <c r="D4" s="302"/>
      <c r="E4" s="302"/>
      <c r="F4" s="302"/>
      <c r="G4" s="302"/>
    </row>
    <row r="5" spans="1:9" ht="15.75" x14ac:dyDescent="0.25">
      <c r="A5" s="303" t="s">
        <v>323</v>
      </c>
      <c r="B5" s="303"/>
      <c r="C5" s="303"/>
      <c r="D5" s="303"/>
      <c r="E5" s="303"/>
      <c r="F5" s="303"/>
      <c r="G5" s="303"/>
    </row>
    <row r="6" spans="1:9" x14ac:dyDescent="0.25">
      <c r="A6" s="385"/>
      <c r="B6" s="385"/>
      <c r="C6" s="385"/>
      <c r="D6" s="385"/>
      <c r="E6" s="385"/>
      <c r="F6" s="385"/>
      <c r="G6" s="385"/>
    </row>
    <row r="7" spans="1:9" ht="18.75" x14ac:dyDescent="0.25">
      <c r="A7" s="410" t="s">
        <v>143</v>
      </c>
      <c r="B7" s="410"/>
      <c r="C7" s="410"/>
      <c r="D7" s="410"/>
      <c r="E7" s="410"/>
      <c r="F7" s="410"/>
      <c r="G7" s="410"/>
    </row>
    <row r="8" spans="1:9" x14ac:dyDescent="0.25">
      <c r="A8" s="411"/>
      <c r="B8" s="411"/>
      <c r="C8" s="411"/>
      <c r="D8" s="411"/>
      <c r="E8" s="411"/>
      <c r="F8" s="411"/>
      <c r="G8" s="411"/>
    </row>
    <row r="9" spans="1:9" ht="12.75" customHeight="1" x14ac:dyDescent="0.25">
      <c r="A9" s="412" t="s">
        <v>311</v>
      </c>
      <c r="B9" s="412"/>
      <c r="C9" s="412"/>
      <c r="D9" s="412"/>
      <c r="E9" s="412"/>
      <c r="F9" s="412"/>
      <c r="G9" s="412"/>
    </row>
    <row r="10" spans="1:9" x14ac:dyDescent="0.25">
      <c r="A10" s="206" t="s">
        <v>136</v>
      </c>
      <c r="B10" s="409" t="s">
        <v>137</v>
      </c>
      <c r="C10" s="409"/>
      <c r="D10" s="409"/>
      <c r="E10" s="206" t="s">
        <v>195</v>
      </c>
      <c r="F10" s="206" t="s">
        <v>139</v>
      </c>
      <c r="G10" s="206" t="s">
        <v>140</v>
      </c>
    </row>
    <row r="11" spans="1:9" ht="12.75" customHeight="1" x14ac:dyDescent="0.25">
      <c r="A11" s="38" t="s">
        <v>130</v>
      </c>
      <c r="B11" s="403" t="s">
        <v>230</v>
      </c>
      <c r="C11" s="404"/>
      <c r="D11" s="405"/>
      <c r="E11" s="2">
        <v>4</v>
      </c>
      <c r="F11" s="183">
        <v>35</v>
      </c>
      <c r="G11" s="183">
        <f>F11*E11</f>
        <v>140</v>
      </c>
    </row>
    <row r="12" spans="1:9" ht="12.75" customHeight="1" x14ac:dyDescent="0.25">
      <c r="A12" s="38" t="s">
        <v>196</v>
      </c>
      <c r="B12" s="403" t="s">
        <v>228</v>
      </c>
      <c r="C12" s="404"/>
      <c r="D12" s="405"/>
      <c r="E12" s="2">
        <v>4</v>
      </c>
      <c r="F12" s="183">
        <v>15.5</v>
      </c>
      <c r="G12" s="183">
        <f t="shared" ref="G12:G16" si="0">F12*E12</f>
        <v>62</v>
      </c>
    </row>
    <row r="13" spans="1:9" ht="12.75" customHeight="1" x14ac:dyDescent="0.25">
      <c r="A13" s="38" t="s">
        <v>197</v>
      </c>
      <c r="B13" s="403" t="s">
        <v>224</v>
      </c>
      <c r="C13" s="404"/>
      <c r="D13" s="405"/>
      <c r="E13" s="2">
        <v>2</v>
      </c>
      <c r="F13" s="183">
        <v>56.5</v>
      </c>
      <c r="G13" s="183">
        <f t="shared" si="0"/>
        <v>113</v>
      </c>
    </row>
    <row r="14" spans="1:9" ht="12.75" customHeight="1" x14ac:dyDescent="0.25">
      <c r="A14" s="38" t="s">
        <v>198</v>
      </c>
      <c r="B14" s="403" t="s">
        <v>229</v>
      </c>
      <c r="C14" s="404"/>
      <c r="D14" s="405"/>
      <c r="E14" s="2">
        <v>2</v>
      </c>
      <c r="F14" s="183">
        <v>8.5</v>
      </c>
      <c r="G14" s="183">
        <f t="shared" si="0"/>
        <v>17</v>
      </c>
    </row>
    <row r="15" spans="1:9" ht="12.75" customHeight="1" x14ac:dyDescent="0.25">
      <c r="A15" s="38" t="s">
        <v>199</v>
      </c>
      <c r="B15" s="403" t="s">
        <v>225</v>
      </c>
      <c r="C15" s="404"/>
      <c r="D15" s="405"/>
      <c r="E15" s="2">
        <v>4</v>
      </c>
      <c r="F15" s="183">
        <v>3.5</v>
      </c>
      <c r="G15" s="183">
        <f t="shared" si="0"/>
        <v>14</v>
      </c>
    </row>
    <row r="16" spans="1:9" ht="12.75" customHeight="1" x14ac:dyDescent="0.25">
      <c r="A16" s="38" t="s">
        <v>200</v>
      </c>
      <c r="B16" s="403" t="s">
        <v>227</v>
      </c>
      <c r="C16" s="404"/>
      <c r="D16" s="405"/>
      <c r="E16" s="2">
        <v>1</v>
      </c>
      <c r="F16" s="183">
        <v>5</v>
      </c>
      <c r="G16" s="183">
        <f t="shared" si="0"/>
        <v>5</v>
      </c>
      <c r="I16" s="208"/>
    </row>
    <row r="17" spans="1:9" ht="12.75" customHeight="1" x14ac:dyDescent="0.25">
      <c r="A17" s="406" t="s">
        <v>138</v>
      </c>
      <c r="B17" s="406"/>
      <c r="C17" s="406"/>
      <c r="D17" s="406"/>
      <c r="E17" s="406"/>
      <c r="F17" s="406"/>
      <c r="G17" s="184">
        <f>SUM(G11:G16)</f>
        <v>351</v>
      </c>
    </row>
    <row r="18" spans="1:9" s="22" customFormat="1" ht="12.75" customHeight="1" x14ac:dyDescent="0.25">
      <c r="A18" s="426" t="s">
        <v>332</v>
      </c>
      <c r="B18" s="426"/>
      <c r="C18" s="426"/>
      <c r="D18" s="426"/>
      <c r="E18" s="426"/>
      <c r="F18" s="426"/>
      <c r="G18" s="209">
        <f>G17/12</f>
        <v>29.25</v>
      </c>
    </row>
    <row r="19" spans="1:9" s="22" customFormat="1" ht="12.75" customHeight="1" x14ac:dyDescent="0.25">
      <c r="A19" s="407" t="s">
        <v>336</v>
      </c>
      <c r="B19" s="407"/>
      <c r="C19" s="407"/>
      <c r="D19" s="407"/>
      <c r="E19" s="407"/>
      <c r="F19" s="407"/>
      <c r="G19" s="209">
        <f>G18*102.97%</f>
        <v>30.118725000000001</v>
      </c>
    </row>
    <row r="20" spans="1:9" s="22" customFormat="1" ht="12.75" customHeight="1" x14ac:dyDescent="0.25">
      <c r="A20" s="416" t="s">
        <v>335</v>
      </c>
      <c r="B20" s="416"/>
      <c r="C20" s="416"/>
      <c r="D20" s="416"/>
      <c r="E20" s="416"/>
      <c r="F20" s="416"/>
      <c r="G20" s="234">
        <f>G19*G76</f>
        <v>30.504843490153849</v>
      </c>
    </row>
    <row r="21" spans="1:9" ht="12.75" customHeight="1" x14ac:dyDescent="0.25">
      <c r="A21" s="402"/>
      <c r="B21" s="402"/>
      <c r="C21" s="402"/>
      <c r="D21" s="402"/>
      <c r="E21" s="402"/>
      <c r="F21" s="402"/>
      <c r="G21" s="402"/>
    </row>
    <row r="22" spans="1:9" ht="12.75" customHeight="1" x14ac:dyDescent="0.25">
      <c r="A22" s="408" t="s">
        <v>315</v>
      </c>
      <c r="B22" s="408"/>
      <c r="C22" s="408"/>
      <c r="D22" s="408"/>
      <c r="E22" s="408"/>
      <c r="F22" s="408"/>
      <c r="G22" s="408"/>
    </row>
    <row r="23" spans="1:9" x14ac:dyDescent="0.25">
      <c r="A23" s="206" t="s">
        <v>136</v>
      </c>
      <c r="B23" s="409" t="s">
        <v>137</v>
      </c>
      <c r="C23" s="409"/>
      <c r="D23" s="409"/>
      <c r="E23" s="206" t="s">
        <v>195</v>
      </c>
      <c r="F23" s="206" t="s">
        <v>139</v>
      </c>
      <c r="G23" s="206" t="s">
        <v>140</v>
      </c>
    </row>
    <row r="24" spans="1:9" ht="12.75" customHeight="1" x14ac:dyDescent="0.25">
      <c r="A24" s="38" t="s">
        <v>130</v>
      </c>
      <c r="B24" s="403" t="s">
        <v>226</v>
      </c>
      <c r="C24" s="404"/>
      <c r="D24" s="405"/>
      <c r="E24" s="2">
        <v>4</v>
      </c>
      <c r="F24" s="183">
        <v>5.9</v>
      </c>
      <c r="G24" s="183">
        <f t="shared" ref="G24:G25" si="1">F24*E24</f>
        <v>23.6</v>
      </c>
    </row>
    <row r="25" spans="1:9" ht="12.75" customHeight="1" x14ac:dyDescent="0.25">
      <c r="A25" s="38" t="s">
        <v>196</v>
      </c>
      <c r="B25" s="403" t="s">
        <v>314</v>
      </c>
      <c r="C25" s="404"/>
      <c r="D25" s="405"/>
      <c r="E25" s="2">
        <v>2</v>
      </c>
      <c r="F25" s="183">
        <v>50.6</v>
      </c>
      <c r="G25" s="183">
        <f t="shared" si="1"/>
        <v>101.2</v>
      </c>
      <c r="I25" s="208"/>
    </row>
    <row r="26" spans="1:9" ht="12.75" customHeight="1" x14ac:dyDescent="0.25">
      <c r="A26" s="406" t="s">
        <v>138</v>
      </c>
      <c r="B26" s="406"/>
      <c r="C26" s="406"/>
      <c r="D26" s="406"/>
      <c r="E26" s="406"/>
      <c r="F26" s="406"/>
      <c r="G26" s="184">
        <f>SUM(G24:G25)</f>
        <v>124.80000000000001</v>
      </c>
    </row>
    <row r="27" spans="1:9" s="22" customFormat="1" ht="12.75" customHeight="1" x14ac:dyDescent="0.25">
      <c r="A27" s="426" t="s">
        <v>332</v>
      </c>
      <c r="B27" s="426"/>
      <c r="C27" s="426"/>
      <c r="D27" s="426"/>
      <c r="E27" s="426"/>
      <c r="F27" s="426"/>
      <c r="G27" s="209">
        <f>G26/12</f>
        <v>10.4</v>
      </c>
    </row>
    <row r="28" spans="1:9" s="22" customFormat="1" ht="12.75" customHeight="1" x14ac:dyDescent="0.25">
      <c r="A28" s="407" t="s">
        <v>327</v>
      </c>
      <c r="B28" s="407"/>
      <c r="C28" s="407"/>
      <c r="D28" s="407"/>
      <c r="E28" s="407"/>
      <c r="F28" s="407"/>
      <c r="G28" s="209">
        <f>G27*102.97%</f>
        <v>10.708880000000001</v>
      </c>
    </row>
    <row r="29" spans="1:9" s="22" customFormat="1" ht="12.75" customHeight="1" x14ac:dyDescent="0.25">
      <c r="A29" s="416" t="s">
        <v>337</v>
      </c>
      <c r="B29" s="416"/>
      <c r="C29" s="416"/>
      <c r="D29" s="416"/>
      <c r="E29" s="416"/>
      <c r="F29" s="416"/>
      <c r="G29" s="209">
        <f>G28*G76</f>
        <v>10.846166574276925</v>
      </c>
    </row>
    <row r="30" spans="1:9" ht="12.75" customHeight="1" x14ac:dyDescent="0.25">
      <c r="A30" s="402"/>
      <c r="B30" s="402"/>
      <c r="C30" s="402"/>
      <c r="D30" s="402"/>
      <c r="E30" s="402"/>
      <c r="F30" s="402"/>
      <c r="G30" s="402"/>
    </row>
    <row r="31" spans="1:9" ht="12.75" customHeight="1" x14ac:dyDescent="0.25">
      <c r="A31" s="413" t="s">
        <v>238</v>
      </c>
      <c r="B31" s="414"/>
      <c r="C31" s="414"/>
      <c r="D31" s="414"/>
      <c r="E31" s="414"/>
      <c r="F31" s="414"/>
      <c r="G31" s="415"/>
    </row>
    <row r="32" spans="1:9" x14ac:dyDescent="0.25">
      <c r="A32" s="206" t="s">
        <v>136</v>
      </c>
      <c r="B32" s="409" t="s">
        <v>137</v>
      </c>
      <c r="C32" s="409"/>
      <c r="D32" s="409"/>
      <c r="E32" s="206" t="s">
        <v>195</v>
      </c>
      <c r="F32" s="206" t="s">
        <v>139</v>
      </c>
      <c r="G32" s="206" t="s">
        <v>140</v>
      </c>
    </row>
    <row r="33" spans="1:7" ht="12.75" customHeight="1" x14ac:dyDescent="0.25">
      <c r="A33" s="38" t="s">
        <v>130</v>
      </c>
      <c r="B33" s="403" t="s">
        <v>231</v>
      </c>
      <c r="C33" s="404"/>
      <c r="D33" s="405"/>
      <c r="E33" s="2">
        <v>4</v>
      </c>
      <c r="F33" s="183">
        <v>100</v>
      </c>
      <c r="G33" s="183">
        <f>F33*E33</f>
        <v>400</v>
      </c>
    </row>
    <row r="34" spans="1:7" ht="12.75" customHeight="1" x14ac:dyDescent="0.25">
      <c r="A34" s="38" t="s">
        <v>196</v>
      </c>
      <c r="B34" s="403" t="s">
        <v>232</v>
      </c>
      <c r="C34" s="417"/>
      <c r="D34" s="418"/>
      <c r="E34" s="2">
        <v>4</v>
      </c>
      <c r="F34" s="183">
        <v>16</v>
      </c>
      <c r="G34" s="183">
        <f t="shared" ref="G34:G40" si="2">F34*E34</f>
        <v>64</v>
      </c>
    </row>
    <row r="35" spans="1:7" ht="12.75" customHeight="1" x14ac:dyDescent="0.25">
      <c r="A35" s="38" t="s">
        <v>197</v>
      </c>
      <c r="B35" s="403" t="s">
        <v>233</v>
      </c>
      <c r="C35" s="417"/>
      <c r="D35" s="418"/>
      <c r="E35" s="2">
        <v>4</v>
      </c>
      <c r="F35" s="183">
        <v>27</v>
      </c>
      <c r="G35" s="183">
        <f t="shared" si="2"/>
        <v>108</v>
      </c>
    </row>
    <row r="36" spans="1:7" ht="12.75" customHeight="1" x14ac:dyDescent="0.25">
      <c r="A36" s="38" t="s">
        <v>198</v>
      </c>
      <c r="B36" s="419" t="s">
        <v>234</v>
      </c>
      <c r="C36" s="420"/>
      <c r="D36" s="421"/>
      <c r="E36" s="2">
        <v>4</v>
      </c>
      <c r="F36" s="183">
        <v>16</v>
      </c>
      <c r="G36" s="183">
        <f t="shared" si="2"/>
        <v>64</v>
      </c>
    </row>
    <row r="37" spans="1:7" ht="12.75" customHeight="1" x14ac:dyDescent="0.25">
      <c r="A37" s="38" t="s">
        <v>199</v>
      </c>
      <c r="B37" s="403" t="s">
        <v>235</v>
      </c>
      <c r="C37" s="417"/>
      <c r="D37" s="418"/>
      <c r="E37" s="2">
        <v>2</v>
      </c>
      <c r="F37" s="183">
        <v>38</v>
      </c>
      <c r="G37" s="183">
        <f t="shared" si="2"/>
        <v>76</v>
      </c>
    </row>
    <row r="38" spans="1:7" ht="12.75" customHeight="1" x14ac:dyDescent="0.25">
      <c r="A38" s="38" t="s">
        <v>200</v>
      </c>
      <c r="B38" s="419" t="s">
        <v>236</v>
      </c>
      <c r="C38" s="420"/>
      <c r="D38" s="421"/>
      <c r="E38" s="2">
        <v>4</v>
      </c>
      <c r="F38" s="183">
        <v>3.5</v>
      </c>
      <c r="G38" s="183">
        <f t="shared" si="2"/>
        <v>14</v>
      </c>
    </row>
    <row r="39" spans="1:7" ht="12.75" customHeight="1" x14ac:dyDescent="0.25">
      <c r="A39" s="38" t="s">
        <v>201</v>
      </c>
      <c r="B39" s="422" t="s">
        <v>237</v>
      </c>
      <c r="C39" s="423"/>
      <c r="D39" s="424"/>
      <c r="E39" s="2">
        <v>1</v>
      </c>
      <c r="F39" s="183">
        <v>95.02</v>
      </c>
      <c r="G39" s="183">
        <f t="shared" si="2"/>
        <v>95.02</v>
      </c>
    </row>
    <row r="40" spans="1:7" ht="12.75" customHeight="1" x14ac:dyDescent="0.25">
      <c r="A40" s="38" t="s">
        <v>204</v>
      </c>
      <c r="B40" s="403" t="s">
        <v>227</v>
      </c>
      <c r="C40" s="417"/>
      <c r="D40" s="418"/>
      <c r="E40" s="2">
        <v>1</v>
      </c>
      <c r="F40" s="183">
        <v>5</v>
      </c>
      <c r="G40" s="183">
        <f t="shared" si="2"/>
        <v>5</v>
      </c>
    </row>
    <row r="41" spans="1:7" ht="12.75" customHeight="1" x14ac:dyDescent="0.25">
      <c r="A41" s="406" t="s">
        <v>138</v>
      </c>
      <c r="B41" s="406"/>
      <c r="C41" s="406"/>
      <c r="D41" s="406"/>
      <c r="E41" s="406"/>
      <c r="F41" s="406"/>
      <c r="G41" s="184">
        <f>SUM(G33:G40)</f>
        <v>826.02</v>
      </c>
    </row>
    <row r="42" spans="1:7" s="22" customFormat="1" ht="12.75" x14ac:dyDescent="0.25">
      <c r="A42" s="426" t="s">
        <v>332</v>
      </c>
      <c r="B42" s="426"/>
      <c r="C42" s="426"/>
      <c r="D42" s="426"/>
      <c r="E42" s="426"/>
      <c r="F42" s="426"/>
      <c r="G42" s="209">
        <f>G41/12</f>
        <v>68.834999999999994</v>
      </c>
    </row>
    <row r="43" spans="1:7" ht="12.75" customHeight="1" x14ac:dyDescent="0.25">
      <c r="A43" s="407" t="s">
        <v>326</v>
      </c>
      <c r="B43" s="407"/>
      <c r="C43" s="407"/>
      <c r="D43" s="407"/>
      <c r="E43" s="407"/>
      <c r="F43" s="407"/>
      <c r="G43" s="185">
        <f>G42*102.97%</f>
        <v>70.879399499999991</v>
      </c>
    </row>
    <row r="44" spans="1:7" ht="12.75" customHeight="1" x14ac:dyDescent="0.25">
      <c r="A44" s="416" t="s">
        <v>338</v>
      </c>
      <c r="B44" s="416"/>
      <c r="C44" s="416"/>
      <c r="D44" s="416"/>
      <c r="E44" s="416"/>
      <c r="F44" s="416"/>
      <c r="G44" s="233">
        <f>G43*G76</f>
        <v>71.788065013495384</v>
      </c>
    </row>
    <row r="45" spans="1:7" ht="12.75" customHeight="1" x14ac:dyDescent="0.25"/>
    <row r="46" spans="1:7" ht="12.75" customHeight="1" x14ac:dyDescent="0.25">
      <c r="A46" s="413" t="s">
        <v>240</v>
      </c>
      <c r="B46" s="414"/>
      <c r="C46" s="414"/>
      <c r="D46" s="414"/>
      <c r="E46" s="414"/>
      <c r="F46" s="414"/>
      <c r="G46" s="415"/>
    </row>
    <row r="47" spans="1:7" x14ac:dyDescent="0.25">
      <c r="A47" s="206" t="s">
        <v>136</v>
      </c>
      <c r="B47" s="409" t="s">
        <v>137</v>
      </c>
      <c r="C47" s="409"/>
      <c r="D47" s="409"/>
      <c r="E47" s="206" t="s">
        <v>195</v>
      </c>
      <c r="F47" s="206" t="s">
        <v>139</v>
      </c>
      <c r="G47" s="206" t="s">
        <v>140</v>
      </c>
    </row>
    <row r="48" spans="1:7" ht="12.75" customHeight="1" x14ac:dyDescent="0.25">
      <c r="A48" s="38" t="s">
        <v>130</v>
      </c>
      <c r="B48" s="403" t="s">
        <v>231</v>
      </c>
      <c r="C48" s="404"/>
      <c r="D48" s="405"/>
      <c r="E48" s="2">
        <v>4</v>
      </c>
      <c r="F48" s="183">
        <v>90</v>
      </c>
      <c r="G48" s="183">
        <f>F48*E48</f>
        <v>360</v>
      </c>
    </row>
    <row r="49" spans="1:7" ht="12.75" customHeight="1" x14ac:dyDescent="0.25">
      <c r="A49" s="38" t="s">
        <v>196</v>
      </c>
      <c r="B49" s="403" t="s">
        <v>232</v>
      </c>
      <c r="C49" s="417"/>
      <c r="D49" s="418"/>
      <c r="E49" s="2">
        <v>4</v>
      </c>
      <c r="F49" s="183">
        <v>16</v>
      </c>
      <c r="G49" s="183">
        <f t="shared" ref="G49:G55" si="3">F49*E49</f>
        <v>64</v>
      </c>
    </row>
    <row r="50" spans="1:7" ht="12.75" customHeight="1" x14ac:dyDescent="0.25">
      <c r="A50" s="38" t="s">
        <v>197</v>
      </c>
      <c r="B50" s="403" t="s">
        <v>233</v>
      </c>
      <c r="C50" s="417"/>
      <c r="D50" s="418"/>
      <c r="E50" s="2">
        <v>4</v>
      </c>
      <c r="F50" s="183">
        <v>27</v>
      </c>
      <c r="G50" s="183">
        <f t="shared" si="3"/>
        <v>108</v>
      </c>
    </row>
    <row r="51" spans="1:7" ht="12.75" customHeight="1" x14ac:dyDescent="0.25">
      <c r="A51" s="38" t="s">
        <v>198</v>
      </c>
      <c r="B51" s="419" t="s">
        <v>234</v>
      </c>
      <c r="C51" s="420"/>
      <c r="D51" s="421"/>
      <c r="E51" s="2">
        <v>4</v>
      </c>
      <c r="F51" s="183">
        <v>16</v>
      </c>
      <c r="G51" s="183">
        <f t="shared" si="3"/>
        <v>64</v>
      </c>
    </row>
    <row r="52" spans="1:7" ht="12.75" customHeight="1" x14ac:dyDescent="0.25">
      <c r="A52" s="38" t="s">
        <v>199</v>
      </c>
      <c r="B52" s="403" t="s">
        <v>235</v>
      </c>
      <c r="C52" s="417"/>
      <c r="D52" s="418"/>
      <c r="E52" s="2">
        <v>2</v>
      </c>
      <c r="F52" s="183">
        <v>40</v>
      </c>
      <c r="G52" s="183">
        <f t="shared" si="3"/>
        <v>80</v>
      </c>
    </row>
    <row r="53" spans="1:7" ht="12.75" customHeight="1" x14ac:dyDescent="0.25">
      <c r="A53" s="38" t="s">
        <v>200</v>
      </c>
      <c r="B53" s="419" t="s">
        <v>239</v>
      </c>
      <c r="C53" s="420"/>
      <c r="D53" s="421"/>
      <c r="E53" s="2">
        <v>4</v>
      </c>
      <c r="F53" s="183">
        <v>4.9000000000000004</v>
      </c>
      <c r="G53" s="183">
        <f t="shared" si="3"/>
        <v>19.600000000000001</v>
      </c>
    </row>
    <row r="54" spans="1:7" ht="12.75" customHeight="1" x14ac:dyDescent="0.25">
      <c r="A54" s="38" t="s">
        <v>201</v>
      </c>
      <c r="B54" s="422" t="s">
        <v>237</v>
      </c>
      <c r="C54" s="423"/>
      <c r="D54" s="424"/>
      <c r="E54" s="2">
        <v>1</v>
      </c>
      <c r="F54" s="183">
        <v>85</v>
      </c>
      <c r="G54" s="183">
        <f t="shared" si="3"/>
        <v>85</v>
      </c>
    </row>
    <row r="55" spans="1:7" ht="12.75" customHeight="1" x14ac:dyDescent="0.25">
      <c r="A55" s="38" t="s">
        <v>204</v>
      </c>
      <c r="B55" s="403" t="s">
        <v>227</v>
      </c>
      <c r="C55" s="417"/>
      <c r="D55" s="418"/>
      <c r="E55" s="2">
        <v>1</v>
      </c>
      <c r="F55" s="183">
        <v>5</v>
      </c>
      <c r="G55" s="183">
        <f t="shared" si="3"/>
        <v>5</v>
      </c>
    </row>
    <row r="56" spans="1:7" ht="12.75" customHeight="1" x14ac:dyDescent="0.25">
      <c r="A56" s="406" t="s">
        <v>138</v>
      </c>
      <c r="B56" s="406"/>
      <c r="C56" s="406"/>
      <c r="D56" s="406"/>
      <c r="E56" s="406"/>
      <c r="F56" s="406"/>
      <c r="G56" s="184">
        <f>SUM(G48:G55)</f>
        <v>785.6</v>
      </c>
    </row>
    <row r="57" spans="1:7" s="22" customFormat="1" ht="12.75" x14ac:dyDescent="0.25">
      <c r="A57" s="426" t="s">
        <v>332</v>
      </c>
      <c r="B57" s="426"/>
      <c r="C57" s="426"/>
      <c r="D57" s="426"/>
      <c r="E57" s="426"/>
      <c r="F57" s="426"/>
      <c r="G57" s="209">
        <f>G56/12</f>
        <v>65.466666666666669</v>
      </c>
    </row>
    <row r="58" spans="1:7" s="22" customFormat="1" ht="12.75" x14ac:dyDescent="0.25">
      <c r="A58" s="407" t="s">
        <v>339</v>
      </c>
      <c r="B58" s="407"/>
      <c r="C58" s="407"/>
      <c r="D58" s="407"/>
      <c r="E58" s="407"/>
      <c r="F58" s="407"/>
      <c r="G58" s="209">
        <f>G57*102.97%</f>
        <v>67.411026666666672</v>
      </c>
    </row>
    <row r="59" spans="1:7" ht="12.75" customHeight="1" x14ac:dyDescent="0.25">
      <c r="A59" s="416" t="s">
        <v>340</v>
      </c>
      <c r="B59" s="416"/>
      <c r="C59" s="416"/>
      <c r="D59" s="416"/>
      <c r="E59" s="416"/>
      <c r="F59" s="416"/>
      <c r="G59" s="233">
        <f>G58*G76</f>
        <v>68.275228050897056</v>
      </c>
    </row>
    <row r="60" spans="1:7" ht="12.75" customHeight="1" x14ac:dyDescent="0.25"/>
    <row r="61" spans="1:7" x14ac:dyDescent="0.25">
      <c r="A61" s="427" t="s">
        <v>241</v>
      </c>
      <c r="B61" s="428"/>
      <c r="C61" s="428"/>
      <c r="D61" s="428"/>
      <c r="E61" s="428"/>
      <c r="F61" s="428"/>
      <c r="G61" s="429"/>
    </row>
    <row r="62" spans="1:7" x14ac:dyDescent="0.25">
      <c r="A62" s="206" t="s">
        <v>136</v>
      </c>
      <c r="B62" s="409" t="s">
        <v>137</v>
      </c>
      <c r="C62" s="409"/>
      <c r="D62" s="409"/>
      <c r="E62" s="206" t="s">
        <v>195</v>
      </c>
      <c r="F62" s="206" t="s">
        <v>139</v>
      </c>
      <c r="G62" s="206" t="s">
        <v>140</v>
      </c>
    </row>
    <row r="63" spans="1:7" ht="26.25" customHeight="1" x14ac:dyDescent="0.25">
      <c r="A63" s="38" t="s">
        <v>130</v>
      </c>
      <c r="B63" s="403" t="s">
        <v>243</v>
      </c>
      <c r="C63" s="404"/>
      <c r="D63" s="405"/>
      <c r="E63" s="2">
        <v>4</v>
      </c>
      <c r="F63" s="183">
        <v>27</v>
      </c>
      <c r="G63" s="183">
        <f>F63*E63</f>
        <v>108</v>
      </c>
    </row>
    <row r="64" spans="1:7" ht="26.25" customHeight="1" x14ac:dyDescent="0.25">
      <c r="A64" s="38" t="s">
        <v>196</v>
      </c>
      <c r="B64" s="403" t="s">
        <v>244</v>
      </c>
      <c r="C64" s="417"/>
      <c r="D64" s="418"/>
      <c r="E64" s="2">
        <v>4</v>
      </c>
      <c r="F64" s="183">
        <v>27</v>
      </c>
      <c r="G64" s="183">
        <f t="shared" ref="G64:G70" si="4">F64*E64</f>
        <v>108</v>
      </c>
    </row>
    <row r="65" spans="1:7" ht="26.25" customHeight="1" x14ac:dyDescent="0.25">
      <c r="A65" s="38" t="s">
        <v>197</v>
      </c>
      <c r="B65" s="403" t="s">
        <v>245</v>
      </c>
      <c r="C65" s="417"/>
      <c r="D65" s="418"/>
      <c r="E65" s="2">
        <v>4</v>
      </c>
      <c r="F65" s="183">
        <v>9.5</v>
      </c>
      <c r="G65" s="183">
        <f t="shared" si="4"/>
        <v>38</v>
      </c>
    </row>
    <row r="66" spans="1:7" ht="12.75" customHeight="1" x14ac:dyDescent="0.25">
      <c r="A66" s="38" t="s">
        <v>198</v>
      </c>
      <c r="B66" s="403" t="s">
        <v>242</v>
      </c>
      <c r="C66" s="417"/>
      <c r="D66" s="418"/>
      <c r="E66" s="2">
        <v>4</v>
      </c>
      <c r="F66" s="183">
        <v>13</v>
      </c>
      <c r="G66" s="183">
        <f t="shared" si="4"/>
        <v>52</v>
      </c>
    </row>
    <row r="67" spans="1:7" ht="12.75" customHeight="1" x14ac:dyDescent="0.25">
      <c r="A67" s="38" t="s">
        <v>199</v>
      </c>
      <c r="B67" s="403" t="s">
        <v>246</v>
      </c>
      <c r="C67" s="417"/>
      <c r="D67" s="418"/>
      <c r="E67" s="2">
        <v>4</v>
      </c>
      <c r="F67" s="183">
        <v>8.5</v>
      </c>
      <c r="G67" s="183">
        <f t="shared" si="4"/>
        <v>34</v>
      </c>
    </row>
    <row r="68" spans="1:7" ht="12.75" customHeight="1" x14ac:dyDescent="0.25">
      <c r="A68" s="38" t="s">
        <v>200</v>
      </c>
      <c r="B68" s="419" t="s">
        <v>247</v>
      </c>
      <c r="C68" s="420"/>
      <c r="D68" s="421"/>
      <c r="E68" s="2">
        <v>4</v>
      </c>
      <c r="F68" s="183">
        <v>4.9000000000000004</v>
      </c>
      <c r="G68" s="183">
        <f t="shared" si="4"/>
        <v>19.600000000000001</v>
      </c>
    </row>
    <row r="69" spans="1:7" ht="27" customHeight="1" x14ac:dyDescent="0.25">
      <c r="A69" s="38" t="s">
        <v>325</v>
      </c>
      <c r="B69" s="403" t="s">
        <v>248</v>
      </c>
      <c r="C69" s="417"/>
      <c r="D69" s="418"/>
      <c r="E69" s="2">
        <v>2</v>
      </c>
      <c r="F69" s="183">
        <v>40</v>
      </c>
      <c r="G69" s="183">
        <f t="shared" si="4"/>
        <v>80</v>
      </c>
    </row>
    <row r="70" spans="1:7" ht="12.75" customHeight="1" x14ac:dyDescent="0.25">
      <c r="A70" s="38" t="s">
        <v>204</v>
      </c>
      <c r="B70" s="403" t="s">
        <v>227</v>
      </c>
      <c r="C70" s="417"/>
      <c r="D70" s="418"/>
      <c r="E70" s="2">
        <v>1</v>
      </c>
      <c r="F70" s="183">
        <v>5</v>
      </c>
      <c r="G70" s="183">
        <f t="shared" si="4"/>
        <v>5</v>
      </c>
    </row>
    <row r="71" spans="1:7" ht="12.75" customHeight="1" x14ac:dyDescent="0.25">
      <c r="A71" s="406" t="s">
        <v>138</v>
      </c>
      <c r="B71" s="406"/>
      <c r="C71" s="406"/>
      <c r="D71" s="406"/>
      <c r="E71" s="406"/>
      <c r="F71" s="406"/>
      <c r="G71" s="184">
        <f>SUM(G63:G70)</f>
        <v>444.6</v>
      </c>
    </row>
    <row r="72" spans="1:7" s="22" customFormat="1" ht="12.75" x14ac:dyDescent="0.25">
      <c r="A72" s="426" t="s">
        <v>332</v>
      </c>
      <c r="B72" s="426"/>
      <c r="C72" s="426"/>
      <c r="D72" s="426"/>
      <c r="E72" s="426"/>
      <c r="F72" s="426"/>
      <c r="G72" s="209">
        <f>G71/12</f>
        <v>37.050000000000004</v>
      </c>
    </row>
    <row r="73" spans="1:7" ht="12.75" customHeight="1" x14ac:dyDescent="0.25">
      <c r="A73" s="407" t="s">
        <v>333</v>
      </c>
      <c r="B73" s="407"/>
      <c r="C73" s="407"/>
      <c r="D73" s="407"/>
      <c r="E73" s="407"/>
      <c r="F73" s="407"/>
      <c r="G73" s="185">
        <f>G72*102.97%</f>
        <v>38.150385000000007</v>
      </c>
    </row>
    <row r="74" spans="1:7" ht="12.75" customHeight="1" x14ac:dyDescent="0.25">
      <c r="A74" s="416" t="s">
        <v>334</v>
      </c>
      <c r="B74" s="416"/>
      <c r="C74" s="416"/>
      <c r="D74" s="416"/>
      <c r="E74" s="416"/>
      <c r="F74" s="416"/>
      <c r="G74" s="233">
        <f>G73*G76</f>
        <v>38.639468420861547</v>
      </c>
    </row>
    <row r="75" spans="1:7" ht="12.75" customHeight="1" x14ac:dyDescent="0.25"/>
    <row r="76" spans="1:7" s="22" customFormat="1" ht="12.75" customHeight="1" x14ac:dyDescent="0.25">
      <c r="A76" s="425" t="s">
        <v>341</v>
      </c>
      <c r="B76" s="425"/>
      <c r="C76" s="425"/>
      <c r="D76" s="425"/>
      <c r="E76" s="425"/>
      <c r="F76" s="425"/>
      <c r="G76" s="210">
        <f>1+(5.78484-2.535)/2.535/100</f>
        <v>1.0128198816568048</v>
      </c>
    </row>
    <row r="77" spans="1:7" ht="12.75" customHeight="1" x14ac:dyDescent="0.25"/>
    <row r="78" spans="1:7" x14ac:dyDescent="0.25">
      <c r="G78" s="210"/>
    </row>
  </sheetData>
  <mergeCells count="73">
    <mergeCell ref="A72:F72"/>
    <mergeCell ref="A74:F74"/>
    <mergeCell ref="A58:F58"/>
    <mergeCell ref="A44:F44"/>
    <mergeCell ref="A20:F20"/>
    <mergeCell ref="A29:F29"/>
    <mergeCell ref="A28:F28"/>
    <mergeCell ref="A73:F73"/>
    <mergeCell ref="B49:D49"/>
    <mergeCell ref="B50:D50"/>
    <mergeCell ref="B51:D51"/>
    <mergeCell ref="B52:D52"/>
    <mergeCell ref="A61:G61"/>
    <mergeCell ref="B62:D62"/>
    <mergeCell ref="B63:D63"/>
    <mergeCell ref="B55:D55"/>
    <mergeCell ref="A76:F76"/>
    <mergeCell ref="A18:F18"/>
    <mergeCell ref="A27:F27"/>
    <mergeCell ref="A42:F42"/>
    <mergeCell ref="A57:F57"/>
    <mergeCell ref="B69:D69"/>
    <mergeCell ref="B70:D70"/>
    <mergeCell ref="A71:F71"/>
    <mergeCell ref="B64:D64"/>
    <mergeCell ref="B65:D65"/>
    <mergeCell ref="B66:D66"/>
    <mergeCell ref="B67:D67"/>
    <mergeCell ref="B68:D68"/>
    <mergeCell ref="B53:D53"/>
    <mergeCell ref="B54:D54"/>
    <mergeCell ref="B48:D48"/>
    <mergeCell ref="A56:F56"/>
    <mergeCell ref="A59:F59"/>
    <mergeCell ref="B47:D47"/>
    <mergeCell ref="B33:D33"/>
    <mergeCell ref="B34:D34"/>
    <mergeCell ref="B35:D35"/>
    <mergeCell ref="B36:D36"/>
    <mergeCell ref="B37:D37"/>
    <mergeCell ref="B38:D38"/>
    <mergeCell ref="B39:D39"/>
    <mergeCell ref="B40:D40"/>
    <mergeCell ref="A31:G31"/>
    <mergeCell ref="B32:D32"/>
    <mergeCell ref="A41:F41"/>
    <mergeCell ref="A43:F43"/>
    <mergeCell ref="A46:G46"/>
    <mergeCell ref="A6:G6"/>
    <mergeCell ref="A7:G7"/>
    <mergeCell ref="A8:G8"/>
    <mergeCell ref="B13:D13"/>
    <mergeCell ref="B14:D14"/>
    <mergeCell ref="B12:D12"/>
    <mergeCell ref="B10:D10"/>
    <mergeCell ref="A9:G9"/>
    <mergeCell ref="B11:D11"/>
    <mergeCell ref="A1:G1"/>
    <mergeCell ref="A2:G2"/>
    <mergeCell ref="A3:G3"/>
    <mergeCell ref="A4:G4"/>
    <mergeCell ref="A5:G5"/>
    <mergeCell ref="A26:F26"/>
    <mergeCell ref="A30:G30"/>
    <mergeCell ref="B24:D24"/>
    <mergeCell ref="B25:D25"/>
    <mergeCell ref="A22:G22"/>
    <mergeCell ref="B23:D23"/>
    <mergeCell ref="A21:G21"/>
    <mergeCell ref="B15:D15"/>
    <mergeCell ref="A17:F17"/>
    <mergeCell ref="B16:D16"/>
    <mergeCell ref="A19:F19"/>
  </mergeCells>
  <pageMargins left="0.72" right="0.19685039370078741" top="0.72" bottom="0.6692913385826772" header="0.11811023622047245" footer="0.11811023622047245"/>
  <pageSetup paperSize="9" scale="72" firstPageNumber="0" fitToHeight="0" orientation="portrait" r:id="rId1"/>
  <headerFooter alignWithMargins="0">
    <oddHeader>&amp;R&amp;G</oddHeader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141"/>
  <sheetViews>
    <sheetView view="pageBreakPreview" topLeftCell="A70" zoomScaleNormal="100" zoomScaleSheetLayoutView="100" workbookViewId="0">
      <selection activeCell="A95" sqref="A95:I95"/>
    </sheetView>
  </sheetViews>
  <sheetFormatPr defaultRowHeight="15" x14ac:dyDescent="0.25"/>
  <cols>
    <col min="1" max="1" width="5.5703125" style="1" customWidth="1"/>
    <col min="2" max="3" width="19.42578125" style="1" customWidth="1"/>
    <col min="4" max="4" width="16.42578125" style="1" customWidth="1"/>
    <col min="5" max="5" width="12.42578125" style="1" customWidth="1"/>
    <col min="6" max="6" width="9.140625" style="1" customWidth="1"/>
    <col min="7" max="7" width="7.5703125" style="1" customWidth="1"/>
    <col min="8" max="8" width="12" style="1" customWidth="1"/>
    <col min="9" max="9" width="20.7109375" style="1" customWidth="1"/>
    <col min="10" max="10" width="2.5703125" style="1" customWidth="1"/>
    <col min="11" max="11" width="13" style="3" customWidth="1"/>
    <col min="12" max="12" width="12.5703125" style="3" customWidth="1"/>
    <col min="13" max="13" width="10.28515625" style="3" customWidth="1"/>
    <col min="14" max="16" width="8.7109375" style="3" customWidth="1"/>
    <col min="17" max="1025" width="8.7109375" style="1" customWidth="1"/>
    <col min="1026" max="16384" width="9.140625" style="1"/>
  </cols>
  <sheetData>
    <row r="1" spans="1:10" ht="15.75" x14ac:dyDescent="0.25">
      <c r="A1" s="302" t="s">
        <v>212</v>
      </c>
      <c r="B1" s="302"/>
      <c r="C1" s="302"/>
      <c r="D1" s="302"/>
      <c r="E1" s="302"/>
      <c r="F1" s="302"/>
      <c r="G1" s="302"/>
      <c r="H1" s="302"/>
      <c r="I1" s="302"/>
      <c r="J1" s="126"/>
    </row>
    <row r="2" spans="1:10" ht="15.75" x14ac:dyDescent="0.25">
      <c r="A2" s="302" t="s">
        <v>213</v>
      </c>
      <c r="B2" s="302"/>
      <c r="C2" s="302"/>
      <c r="D2" s="302"/>
      <c r="E2" s="302"/>
      <c r="F2" s="302"/>
      <c r="G2" s="302"/>
      <c r="H2" s="302"/>
      <c r="I2" s="302"/>
      <c r="J2" s="126"/>
    </row>
    <row r="3" spans="1:10" ht="15.75" x14ac:dyDescent="0.25">
      <c r="A3" s="302" t="s">
        <v>215</v>
      </c>
      <c r="B3" s="302"/>
      <c r="C3" s="302"/>
      <c r="D3" s="302"/>
      <c r="E3" s="302"/>
      <c r="F3" s="302"/>
      <c r="G3" s="302"/>
      <c r="H3" s="302"/>
      <c r="I3" s="302"/>
      <c r="J3" s="126"/>
    </row>
    <row r="4" spans="1:10" ht="15.75" x14ac:dyDescent="0.25">
      <c r="A4" s="302" t="s">
        <v>214</v>
      </c>
      <c r="B4" s="302"/>
      <c r="C4" s="302"/>
      <c r="D4" s="302"/>
      <c r="E4" s="302"/>
      <c r="F4" s="302"/>
      <c r="G4" s="302"/>
      <c r="H4" s="302"/>
      <c r="I4" s="302"/>
      <c r="J4" s="126"/>
    </row>
    <row r="5" spans="1:10" ht="15.75" x14ac:dyDescent="0.25">
      <c r="A5" s="396" t="s">
        <v>323</v>
      </c>
      <c r="B5" s="396"/>
      <c r="C5" s="396"/>
      <c r="D5" s="396"/>
      <c r="E5" s="396"/>
      <c r="F5" s="396"/>
      <c r="G5" s="396"/>
      <c r="H5" s="396"/>
      <c r="I5" s="396"/>
      <c r="J5" s="126"/>
    </row>
    <row r="6" spans="1:10" x14ac:dyDescent="0.25">
      <c r="A6" s="385"/>
      <c r="B6" s="385"/>
      <c r="C6" s="385"/>
      <c r="D6" s="385"/>
      <c r="E6" s="385"/>
      <c r="F6" s="385"/>
      <c r="G6" s="385"/>
      <c r="H6" s="385"/>
      <c r="I6" s="385"/>
      <c r="J6" s="139"/>
    </row>
    <row r="7" spans="1:10" ht="18.75" x14ac:dyDescent="0.25">
      <c r="A7" s="390" t="s">
        <v>0</v>
      </c>
      <c r="B7" s="390"/>
      <c r="C7" s="390"/>
      <c r="D7" s="390"/>
      <c r="E7" s="390"/>
      <c r="F7" s="390"/>
      <c r="G7" s="390"/>
      <c r="H7" s="390"/>
      <c r="I7" s="390"/>
      <c r="J7" s="140"/>
    </row>
    <row r="8" spans="1:10" x14ac:dyDescent="0.25">
      <c r="A8" s="385"/>
      <c r="B8" s="385"/>
      <c r="C8" s="385"/>
      <c r="D8" s="385"/>
      <c r="E8" s="385"/>
      <c r="F8" s="385"/>
      <c r="G8" s="385"/>
      <c r="H8" s="385"/>
      <c r="I8" s="385"/>
      <c r="J8" s="139"/>
    </row>
    <row r="9" spans="1:10" x14ac:dyDescent="0.25">
      <c r="A9" s="391" t="s">
        <v>253</v>
      </c>
      <c r="B9" s="391"/>
      <c r="C9" s="391"/>
      <c r="D9" s="391"/>
      <c r="E9" s="391"/>
      <c r="F9" s="391"/>
      <c r="G9" s="391"/>
      <c r="H9" s="391"/>
      <c r="I9" s="391"/>
      <c r="J9" s="37"/>
    </row>
    <row r="10" spans="1:10" ht="21.75" customHeight="1" thickBot="1" x14ac:dyDescent="0.3">
      <c r="A10" s="392" t="s">
        <v>0</v>
      </c>
      <c r="B10" s="392"/>
      <c r="C10" s="392"/>
      <c r="D10" s="392"/>
      <c r="E10" s="392"/>
      <c r="F10" s="392"/>
      <c r="G10" s="392"/>
      <c r="H10" s="392"/>
      <c r="I10" s="392"/>
      <c r="J10" s="44"/>
    </row>
    <row r="11" spans="1:10" ht="13.5" customHeight="1" x14ac:dyDescent="0.25">
      <c r="A11" s="393" t="s">
        <v>1</v>
      </c>
      <c r="B11" s="393"/>
      <c r="C11" s="393"/>
      <c r="D11" s="393"/>
      <c r="E11" s="393"/>
      <c r="F11" s="393"/>
      <c r="G11" s="393"/>
      <c r="H11" s="393"/>
      <c r="I11" s="393"/>
      <c r="J11" s="45"/>
    </row>
    <row r="12" spans="1:10" ht="13.5" customHeight="1" x14ac:dyDescent="0.25">
      <c r="A12" s="137" t="s">
        <v>2</v>
      </c>
      <c r="B12" s="349" t="s">
        <v>3</v>
      </c>
      <c r="C12" s="349"/>
      <c r="D12" s="349"/>
      <c r="E12" s="394">
        <v>45065</v>
      </c>
      <c r="F12" s="395"/>
      <c r="G12" s="395"/>
      <c r="H12" s="395"/>
      <c r="I12" s="395"/>
      <c r="J12" s="46"/>
    </row>
    <row r="13" spans="1:10" ht="13.5" customHeight="1" x14ac:dyDescent="0.25">
      <c r="A13" s="137" t="s">
        <v>4</v>
      </c>
      <c r="B13" s="387" t="s">
        <v>5</v>
      </c>
      <c r="C13" s="387"/>
      <c r="D13" s="387"/>
      <c r="E13" s="388" t="s">
        <v>250</v>
      </c>
      <c r="F13" s="388"/>
      <c r="G13" s="388"/>
      <c r="H13" s="388"/>
      <c r="I13" s="388"/>
      <c r="J13" s="47"/>
    </row>
    <row r="14" spans="1:10" ht="13.5" customHeight="1" x14ac:dyDescent="0.25">
      <c r="A14" s="137" t="s">
        <v>6</v>
      </c>
      <c r="B14" s="387" t="s">
        <v>7</v>
      </c>
      <c r="C14" s="387"/>
      <c r="D14" s="387"/>
      <c r="E14" s="389" t="s">
        <v>328</v>
      </c>
      <c r="F14" s="389"/>
      <c r="G14" s="389"/>
      <c r="H14" s="389"/>
      <c r="I14" s="389"/>
      <c r="J14" s="48"/>
    </row>
    <row r="15" spans="1:10" ht="13.5" customHeight="1" x14ac:dyDescent="0.25">
      <c r="A15" s="137" t="s">
        <v>8</v>
      </c>
      <c r="B15" s="349" t="s">
        <v>9</v>
      </c>
      <c r="C15" s="349"/>
      <c r="D15" s="349"/>
      <c r="E15" s="342" t="s">
        <v>194</v>
      </c>
      <c r="F15" s="342"/>
      <c r="G15" s="342"/>
      <c r="H15" s="342"/>
      <c r="I15" s="342"/>
      <c r="J15" s="147"/>
    </row>
    <row r="16" spans="1:10" x14ac:dyDescent="0.25">
      <c r="A16" s="385"/>
      <c r="B16" s="385"/>
      <c r="C16" s="385"/>
      <c r="D16" s="385"/>
      <c r="E16" s="385"/>
      <c r="F16" s="385"/>
      <c r="G16" s="385"/>
      <c r="H16" s="385"/>
      <c r="I16" s="385"/>
      <c r="J16" s="139"/>
    </row>
    <row r="17" spans="1:16" ht="26.25" customHeight="1" x14ac:dyDescent="0.25">
      <c r="A17" s="335" t="s">
        <v>10</v>
      </c>
      <c r="B17" s="335"/>
      <c r="C17" s="335"/>
      <c r="D17" s="335"/>
      <c r="E17" s="335"/>
      <c r="F17" s="335" t="s">
        <v>11</v>
      </c>
      <c r="G17" s="335"/>
      <c r="H17" s="356" t="s">
        <v>207</v>
      </c>
      <c r="I17" s="356"/>
      <c r="J17" s="49"/>
      <c r="O17" s="30"/>
    </row>
    <row r="18" spans="1:16" x14ac:dyDescent="0.25">
      <c r="A18" s="342" t="str">
        <f>A9</f>
        <v>MARCENEIRO</v>
      </c>
      <c r="B18" s="342"/>
      <c r="C18" s="342"/>
      <c r="D18" s="342"/>
      <c r="E18" s="342"/>
      <c r="F18" s="342" t="s">
        <v>257</v>
      </c>
      <c r="G18" s="342"/>
      <c r="H18" s="386">
        <v>1</v>
      </c>
      <c r="I18" s="386"/>
      <c r="J18" s="50"/>
    </row>
    <row r="19" spans="1:16" x14ac:dyDescent="0.25">
      <c r="A19" s="356" t="s">
        <v>124</v>
      </c>
      <c r="B19" s="356"/>
      <c r="C19" s="356"/>
      <c r="D19" s="356"/>
      <c r="E19" s="356"/>
      <c r="F19" s="356"/>
      <c r="G19" s="356"/>
      <c r="H19" s="356"/>
      <c r="I19" s="356"/>
      <c r="J19" s="49"/>
    </row>
    <row r="20" spans="1:16" x14ac:dyDescent="0.25">
      <c r="A20" s="137">
        <v>1</v>
      </c>
      <c r="B20" s="349" t="s">
        <v>12</v>
      </c>
      <c r="C20" s="349"/>
      <c r="D20" s="349"/>
      <c r="E20" s="349"/>
      <c r="F20" s="349"/>
      <c r="G20" s="349"/>
      <c r="H20" s="379" t="s">
        <v>251</v>
      </c>
      <c r="I20" s="379"/>
      <c r="J20" s="147"/>
    </row>
    <row r="21" spans="1:16" x14ac:dyDescent="0.25">
      <c r="A21" s="137">
        <v>2</v>
      </c>
      <c r="B21" s="339" t="s">
        <v>216</v>
      </c>
      <c r="C21" s="340"/>
      <c r="D21" s="340"/>
      <c r="E21" s="340"/>
      <c r="F21" s="340"/>
      <c r="G21" s="380"/>
      <c r="H21" s="381" t="s">
        <v>254</v>
      </c>
      <c r="I21" s="382"/>
      <c r="J21" s="147"/>
    </row>
    <row r="22" spans="1:16" s="21" customFormat="1" ht="12.75" x14ac:dyDescent="0.2">
      <c r="A22" s="204">
        <v>3</v>
      </c>
      <c r="B22" s="383" t="s">
        <v>13</v>
      </c>
      <c r="C22" s="383"/>
      <c r="D22" s="383"/>
      <c r="E22" s="383"/>
      <c r="F22" s="383"/>
      <c r="G22" s="383"/>
      <c r="H22" s="384">
        <v>1544.42</v>
      </c>
      <c r="I22" s="384"/>
      <c r="J22" s="51"/>
    </row>
    <row r="23" spans="1:16" x14ac:dyDescent="0.25">
      <c r="A23" s="137">
        <v>4</v>
      </c>
      <c r="B23" s="349" t="s">
        <v>14</v>
      </c>
      <c r="C23" s="349"/>
      <c r="D23" s="349"/>
      <c r="E23" s="349"/>
      <c r="F23" s="349"/>
      <c r="G23" s="349"/>
      <c r="H23" s="374" t="str">
        <f>A9</f>
        <v>MARCENEIRO</v>
      </c>
      <c r="I23" s="374"/>
      <c r="J23" s="52"/>
      <c r="N23" s="4"/>
    </row>
    <row r="24" spans="1:16" x14ac:dyDescent="0.25">
      <c r="A24" s="137">
        <v>5</v>
      </c>
      <c r="B24" s="375" t="s">
        <v>15</v>
      </c>
      <c r="C24" s="375"/>
      <c r="D24" s="375"/>
      <c r="E24" s="375"/>
      <c r="F24" s="375"/>
      <c r="G24" s="375"/>
      <c r="H24" s="376">
        <v>44927</v>
      </c>
      <c r="I24" s="377"/>
      <c r="J24" s="53"/>
    </row>
    <row r="25" spans="1:16" x14ac:dyDescent="0.25">
      <c r="A25" s="378"/>
      <c r="B25" s="378"/>
      <c r="C25" s="378"/>
      <c r="D25" s="378"/>
      <c r="E25" s="378"/>
      <c r="F25" s="378"/>
      <c r="G25" s="378"/>
      <c r="H25" s="378"/>
      <c r="I25" s="378"/>
      <c r="J25" s="147"/>
    </row>
    <row r="26" spans="1:16" ht="13.5" customHeight="1" x14ac:dyDescent="0.25">
      <c r="A26" s="347" t="s">
        <v>16</v>
      </c>
      <c r="B26" s="347"/>
      <c r="C26" s="347"/>
      <c r="D26" s="347"/>
      <c r="E26" s="347"/>
      <c r="F26" s="347"/>
      <c r="G26" s="347"/>
      <c r="H26" s="347"/>
      <c r="I26" s="347"/>
      <c r="J26" s="54"/>
    </row>
    <row r="27" spans="1:16" ht="13.5" customHeight="1" x14ac:dyDescent="0.25">
      <c r="A27" s="142">
        <v>1</v>
      </c>
      <c r="B27" s="335" t="s">
        <v>17</v>
      </c>
      <c r="C27" s="335"/>
      <c r="D27" s="335"/>
      <c r="E27" s="335"/>
      <c r="F27" s="335"/>
      <c r="G27" s="335" t="s">
        <v>18</v>
      </c>
      <c r="H27" s="335"/>
      <c r="I27" s="142" t="s">
        <v>19</v>
      </c>
      <c r="J27" s="55"/>
    </row>
    <row r="28" spans="1:16" s="223" customFormat="1" ht="13.5" customHeight="1" x14ac:dyDescent="0.25">
      <c r="A28" s="219" t="s">
        <v>2</v>
      </c>
      <c r="B28" s="372" t="s">
        <v>20</v>
      </c>
      <c r="C28" s="372"/>
      <c r="D28" s="372"/>
      <c r="E28" s="372"/>
      <c r="F28" s="372"/>
      <c r="G28" s="373">
        <v>1</v>
      </c>
      <c r="H28" s="373"/>
      <c r="I28" s="220">
        <f>H22</f>
        <v>1544.42</v>
      </c>
      <c r="J28" s="221"/>
      <c r="K28" s="222"/>
      <c r="L28" s="222"/>
      <c r="M28" s="222"/>
      <c r="N28" s="222"/>
      <c r="O28" s="222"/>
      <c r="P28" s="222"/>
    </row>
    <row r="29" spans="1:16" ht="13.5" customHeight="1" x14ac:dyDescent="0.25">
      <c r="A29" s="137" t="s">
        <v>4</v>
      </c>
      <c r="B29" s="357" t="s">
        <v>21</v>
      </c>
      <c r="C29" s="357"/>
      <c r="D29" s="357"/>
      <c r="E29" s="357"/>
      <c r="F29" s="357"/>
      <c r="G29" s="370">
        <v>0</v>
      </c>
      <c r="H29" s="370"/>
      <c r="I29" s="58">
        <v>0</v>
      </c>
      <c r="J29" s="59"/>
    </row>
    <row r="30" spans="1:16" ht="13.5" customHeight="1" x14ac:dyDescent="0.25">
      <c r="A30" s="137" t="s">
        <v>6</v>
      </c>
      <c r="B30" s="357" t="s">
        <v>22</v>
      </c>
      <c r="C30" s="357"/>
      <c r="D30" s="357"/>
      <c r="E30" s="357"/>
      <c r="F30" s="357"/>
      <c r="G30" s="370">
        <v>0</v>
      </c>
      <c r="H30" s="370"/>
      <c r="I30" s="56">
        <f>(I28*G30)</f>
        <v>0</v>
      </c>
      <c r="J30" s="57"/>
    </row>
    <row r="31" spans="1:16" ht="13.5" customHeight="1" x14ac:dyDescent="0.25">
      <c r="A31" s="137" t="s">
        <v>8</v>
      </c>
      <c r="B31" s="357" t="s">
        <v>23</v>
      </c>
      <c r="C31" s="357"/>
      <c r="D31" s="357"/>
      <c r="E31" s="357"/>
      <c r="F31" s="357"/>
      <c r="G31" s="370">
        <v>0</v>
      </c>
      <c r="H31" s="370"/>
      <c r="I31" s="56">
        <v>0</v>
      </c>
      <c r="J31" s="57"/>
    </row>
    <row r="32" spans="1:16" ht="13.5" customHeight="1" x14ac:dyDescent="0.25">
      <c r="A32" s="137" t="s">
        <v>24</v>
      </c>
      <c r="B32" s="357" t="s">
        <v>25</v>
      </c>
      <c r="C32" s="357"/>
      <c r="D32" s="357"/>
      <c r="E32" s="357"/>
      <c r="F32" s="357"/>
      <c r="G32" s="370">
        <v>0</v>
      </c>
      <c r="H32" s="370"/>
      <c r="I32" s="56">
        <v>0</v>
      </c>
      <c r="J32" s="57"/>
    </row>
    <row r="33" spans="1:16" ht="13.5" customHeight="1" x14ac:dyDescent="0.25">
      <c r="A33" s="137" t="s">
        <v>26</v>
      </c>
      <c r="B33" s="357" t="s">
        <v>27</v>
      </c>
      <c r="C33" s="357"/>
      <c r="D33" s="357"/>
      <c r="E33" s="357"/>
      <c r="F33" s="357"/>
      <c r="G33" s="370">
        <v>0</v>
      </c>
      <c r="H33" s="370"/>
      <c r="I33" s="56">
        <v>0</v>
      </c>
      <c r="J33" s="57"/>
    </row>
    <row r="34" spans="1:16" ht="13.5" customHeight="1" x14ac:dyDescent="0.25">
      <c r="A34" s="137" t="s">
        <v>28</v>
      </c>
      <c r="B34" s="349" t="s">
        <v>29</v>
      </c>
      <c r="C34" s="349"/>
      <c r="D34" s="349"/>
      <c r="E34" s="349"/>
      <c r="F34" s="349"/>
      <c r="G34" s="370">
        <v>0</v>
      </c>
      <c r="H34" s="370"/>
      <c r="I34" s="56">
        <v>0</v>
      </c>
      <c r="J34" s="57"/>
    </row>
    <row r="35" spans="1:16" ht="13.5" customHeight="1" x14ac:dyDescent="0.25">
      <c r="A35" s="335" t="s">
        <v>30</v>
      </c>
      <c r="B35" s="335"/>
      <c r="C35" s="335"/>
      <c r="D35" s="335"/>
      <c r="E35" s="335"/>
      <c r="F35" s="335"/>
      <c r="G35" s="335"/>
      <c r="H35" s="335"/>
      <c r="I35" s="60">
        <f>SUM(I28:I34)</f>
        <v>1544.42</v>
      </c>
      <c r="J35" s="61"/>
    </row>
    <row r="36" spans="1:16" x14ac:dyDescent="0.25">
      <c r="A36" s="371"/>
      <c r="B36" s="371"/>
      <c r="C36" s="371"/>
      <c r="D36" s="371"/>
      <c r="E36" s="371"/>
      <c r="F36" s="371"/>
      <c r="G36" s="371"/>
      <c r="H36" s="371"/>
      <c r="I36" s="371"/>
      <c r="J36" s="149"/>
    </row>
    <row r="37" spans="1:16" ht="13.5" customHeight="1" x14ac:dyDescent="0.25">
      <c r="A37" s="347" t="s">
        <v>127</v>
      </c>
      <c r="B37" s="347"/>
      <c r="C37" s="347"/>
      <c r="D37" s="347"/>
      <c r="E37" s="347"/>
      <c r="F37" s="347"/>
      <c r="G37" s="347"/>
      <c r="H37" s="347"/>
      <c r="I37" s="347"/>
      <c r="J37" s="54"/>
    </row>
    <row r="38" spans="1:16" ht="13.5" customHeight="1" x14ac:dyDescent="0.25">
      <c r="A38" s="142" t="s">
        <v>31</v>
      </c>
      <c r="B38" s="359" t="s">
        <v>32</v>
      </c>
      <c r="C38" s="359"/>
      <c r="D38" s="359"/>
      <c r="E38" s="359"/>
      <c r="F38" s="359"/>
      <c r="G38" s="359"/>
      <c r="H38" s="142" t="s">
        <v>18</v>
      </c>
      <c r="I38" s="142" t="s">
        <v>19</v>
      </c>
      <c r="J38" s="55"/>
    </row>
    <row r="39" spans="1:16" ht="13.5" customHeight="1" x14ac:dyDescent="0.25">
      <c r="A39" s="137" t="s">
        <v>2</v>
      </c>
      <c r="B39" s="358" t="s">
        <v>33</v>
      </c>
      <c r="C39" s="358"/>
      <c r="D39" s="358"/>
      <c r="E39" s="358"/>
      <c r="F39" s="358"/>
      <c r="G39" s="358"/>
      <c r="H39" s="148">
        <f>(1/12)*1</f>
        <v>8.3333333333333329E-2</v>
      </c>
      <c r="I39" s="56">
        <f>$I$35*H39</f>
        <v>128.70166666666665</v>
      </c>
      <c r="J39" s="57"/>
    </row>
    <row r="40" spans="1:16" ht="13.5" customHeight="1" x14ac:dyDescent="0.25">
      <c r="A40" s="137" t="s">
        <v>4</v>
      </c>
      <c r="B40" s="358" t="s">
        <v>34</v>
      </c>
      <c r="C40" s="358"/>
      <c r="D40" s="358"/>
      <c r="E40" s="358"/>
      <c r="F40" s="358"/>
      <c r="G40" s="358"/>
      <c r="H40" s="148">
        <f>((1+1/3)/12)*1</f>
        <v>0.1111111111111111</v>
      </c>
      <c r="I40" s="56">
        <f>$I$35*H40</f>
        <v>171.60222222222222</v>
      </c>
      <c r="J40" s="57"/>
    </row>
    <row r="41" spans="1:16" ht="13.5" customHeight="1" x14ac:dyDescent="0.25">
      <c r="A41" s="62"/>
      <c r="B41" s="335" t="s">
        <v>35</v>
      </c>
      <c r="C41" s="335"/>
      <c r="D41" s="335"/>
      <c r="E41" s="335"/>
      <c r="F41" s="335"/>
      <c r="G41" s="335"/>
      <c r="H41" s="63">
        <f>SUM(H39:H40)</f>
        <v>0.19444444444444442</v>
      </c>
      <c r="I41" s="64">
        <f>SUM(I39:I40)</f>
        <v>300.30388888888888</v>
      </c>
      <c r="J41" s="65"/>
      <c r="K41" s="31">
        <f>H52*H41</f>
        <v>6.9766666666666671E-2</v>
      </c>
    </row>
    <row r="42" spans="1:16" ht="9.75" customHeight="1" x14ac:dyDescent="0.25">
      <c r="A42" s="141"/>
      <c r="B42" s="141"/>
      <c r="C42" s="141"/>
      <c r="D42" s="141"/>
      <c r="E42" s="141"/>
      <c r="F42" s="141"/>
      <c r="G42" s="141"/>
      <c r="H42" s="141"/>
      <c r="I42" s="66"/>
      <c r="J42" s="66"/>
    </row>
    <row r="43" spans="1:16" ht="13.5" customHeight="1" x14ac:dyDescent="0.25">
      <c r="A43" s="142" t="s">
        <v>36</v>
      </c>
      <c r="B43" s="359" t="s">
        <v>37</v>
      </c>
      <c r="C43" s="359"/>
      <c r="D43" s="359"/>
      <c r="E43" s="359"/>
      <c r="F43" s="359"/>
      <c r="G43" s="359"/>
      <c r="H43" s="142" t="s">
        <v>18</v>
      </c>
      <c r="I43" s="142" t="s">
        <v>19</v>
      </c>
      <c r="J43" s="55"/>
    </row>
    <row r="44" spans="1:16" ht="13.5" customHeight="1" x14ac:dyDescent="0.25">
      <c r="A44" s="137" t="s">
        <v>2</v>
      </c>
      <c r="B44" s="358" t="s">
        <v>38</v>
      </c>
      <c r="C44" s="358"/>
      <c r="D44" s="358"/>
      <c r="E44" s="358"/>
      <c r="F44" s="358"/>
      <c r="G44" s="358"/>
      <c r="H44" s="128">
        <v>0.2</v>
      </c>
      <c r="I44" s="56">
        <f>SUM($I$35,$I$41)*H44</f>
        <v>368.9447777777778</v>
      </c>
      <c r="J44" s="57"/>
    </row>
    <row r="45" spans="1:16" ht="13.5" customHeight="1" x14ac:dyDescent="0.25">
      <c r="A45" s="137" t="s">
        <v>4</v>
      </c>
      <c r="B45" s="358" t="s">
        <v>39</v>
      </c>
      <c r="C45" s="358"/>
      <c r="D45" s="358"/>
      <c r="E45" s="358"/>
      <c r="F45" s="358"/>
      <c r="G45" s="358"/>
      <c r="H45" s="67">
        <v>2.5000000000000001E-2</v>
      </c>
      <c r="I45" s="56">
        <f t="shared" ref="I45:I51" si="0">SUM($I$35,$I$41)*H45</f>
        <v>46.118097222222225</v>
      </c>
      <c r="J45" s="57"/>
    </row>
    <row r="46" spans="1:16" s="83" customFormat="1" ht="13.5" customHeight="1" x14ac:dyDescent="0.25">
      <c r="A46" s="205" t="s">
        <v>6</v>
      </c>
      <c r="B46" s="364" t="s">
        <v>40</v>
      </c>
      <c r="C46" s="364"/>
      <c r="D46" s="364"/>
      <c r="E46" s="364"/>
      <c r="F46" s="364"/>
      <c r="G46" s="364"/>
      <c r="H46" s="207">
        <v>2.0799999999999999E-2</v>
      </c>
      <c r="I46" s="81">
        <f t="shared" si="0"/>
        <v>38.370256888888889</v>
      </c>
      <c r="J46" s="82"/>
      <c r="K46" s="21"/>
      <c r="L46" s="21"/>
      <c r="M46" s="21"/>
      <c r="N46" s="21"/>
      <c r="O46" s="21"/>
      <c r="P46" s="21"/>
    </row>
    <row r="47" spans="1:16" ht="13.5" customHeight="1" x14ac:dyDescent="0.25">
      <c r="A47" s="137" t="s">
        <v>8</v>
      </c>
      <c r="B47" s="358" t="s">
        <v>41</v>
      </c>
      <c r="C47" s="358"/>
      <c r="D47" s="358"/>
      <c r="E47" s="358"/>
      <c r="F47" s="358"/>
      <c r="G47" s="358"/>
      <c r="H47" s="68">
        <v>1.4999999999999999E-2</v>
      </c>
      <c r="I47" s="56">
        <f t="shared" si="0"/>
        <v>27.670858333333332</v>
      </c>
      <c r="J47" s="57"/>
    </row>
    <row r="48" spans="1:16" ht="13.5" customHeight="1" x14ac:dyDescent="0.25">
      <c r="A48" s="137" t="s">
        <v>24</v>
      </c>
      <c r="B48" s="358" t="s">
        <v>42</v>
      </c>
      <c r="C48" s="358"/>
      <c r="D48" s="358"/>
      <c r="E48" s="358"/>
      <c r="F48" s="358"/>
      <c r="G48" s="358"/>
      <c r="H48" s="68">
        <v>0.01</v>
      </c>
      <c r="I48" s="56">
        <f t="shared" si="0"/>
        <v>18.44723888888889</v>
      </c>
      <c r="J48" s="57"/>
    </row>
    <row r="49" spans="1:16" ht="13.5" customHeight="1" x14ac:dyDescent="0.25">
      <c r="A49" s="137" t="s">
        <v>26</v>
      </c>
      <c r="B49" s="358" t="s">
        <v>43</v>
      </c>
      <c r="C49" s="358"/>
      <c r="D49" s="358"/>
      <c r="E49" s="358"/>
      <c r="F49" s="358"/>
      <c r="G49" s="358"/>
      <c r="H49" s="68">
        <v>6.0000000000000001E-3</v>
      </c>
      <c r="I49" s="56">
        <f t="shared" si="0"/>
        <v>11.068343333333335</v>
      </c>
      <c r="J49" s="57"/>
    </row>
    <row r="50" spans="1:16" ht="13.5" customHeight="1" x14ac:dyDescent="0.25">
      <c r="A50" s="137" t="s">
        <v>28</v>
      </c>
      <c r="B50" s="358" t="s">
        <v>44</v>
      </c>
      <c r="C50" s="358"/>
      <c r="D50" s="358"/>
      <c r="E50" s="358"/>
      <c r="F50" s="358"/>
      <c r="G50" s="358"/>
      <c r="H50" s="68">
        <v>2E-3</v>
      </c>
      <c r="I50" s="56">
        <f t="shared" si="0"/>
        <v>3.6894477777777781</v>
      </c>
      <c r="J50" s="57"/>
    </row>
    <row r="51" spans="1:16" ht="13.5" customHeight="1" x14ac:dyDescent="0.25">
      <c r="A51" s="137" t="s">
        <v>45</v>
      </c>
      <c r="B51" s="358" t="s">
        <v>46</v>
      </c>
      <c r="C51" s="358"/>
      <c r="D51" s="358"/>
      <c r="E51" s="358"/>
      <c r="F51" s="358"/>
      <c r="G51" s="358"/>
      <c r="H51" s="68">
        <v>0.08</v>
      </c>
      <c r="I51" s="56">
        <f t="shared" si="0"/>
        <v>147.57791111111112</v>
      </c>
      <c r="J51" s="57"/>
    </row>
    <row r="52" spans="1:16" ht="13.5" customHeight="1" x14ac:dyDescent="0.25">
      <c r="A52" s="336" t="s">
        <v>47</v>
      </c>
      <c r="B52" s="337"/>
      <c r="C52" s="337"/>
      <c r="D52" s="337"/>
      <c r="E52" s="337"/>
      <c r="F52" s="337"/>
      <c r="G52" s="338"/>
      <c r="H52" s="63">
        <f>SUM(H44:H51)</f>
        <v>0.35880000000000006</v>
      </c>
      <c r="I52" s="69">
        <f>SUM(I44:I51)</f>
        <v>661.88693133333334</v>
      </c>
      <c r="J52" s="70"/>
    </row>
    <row r="53" spans="1:16" ht="10.5" customHeight="1" x14ac:dyDescent="0.25">
      <c r="A53" s="141"/>
      <c r="B53" s="141"/>
      <c r="C53" s="141"/>
      <c r="D53" s="141"/>
      <c r="E53" s="141"/>
      <c r="F53" s="141"/>
      <c r="G53" s="141"/>
      <c r="H53" s="141"/>
      <c r="I53" s="71"/>
      <c r="J53" s="71"/>
    </row>
    <row r="54" spans="1:16" ht="13.5" customHeight="1" x14ac:dyDescent="0.25">
      <c r="A54" s="142" t="s">
        <v>48</v>
      </c>
      <c r="B54" s="359" t="s">
        <v>49</v>
      </c>
      <c r="C54" s="359"/>
      <c r="D54" s="359"/>
      <c r="E54" s="359"/>
      <c r="F54" s="359"/>
      <c r="G54" s="359"/>
      <c r="H54" s="142" t="s">
        <v>50</v>
      </c>
      <c r="I54" s="142" t="s">
        <v>19</v>
      </c>
      <c r="J54" s="55"/>
    </row>
    <row r="55" spans="1:16" s="223" customFormat="1" ht="13.5" customHeight="1" x14ac:dyDescent="0.25">
      <c r="A55" s="219" t="s">
        <v>2</v>
      </c>
      <c r="B55" s="367" t="s">
        <v>324</v>
      </c>
      <c r="C55" s="367"/>
      <c r="D55" s="367"/>
      <c r="E55" s="367"/>
      <c r="F55" s="367"/>
      <c r="G55" s="367"/>
      <c r="H55" s="225">
        <v>5</v>
      </c>
      <c r="I55" s="226">
        <f>(H55*2*22)-(I28*6%)</f>
        <v>127.3348</v>
      </c>
      <c r="J55" s="227"/>
      <c r="K55" s="224"/>
      <c r="L55" s="222"/>
      <c r="M55" s="222"/>
      <c r="N55" s="222"/>
      <c r="O55" s="222"/>
      <c r="P55" s="222"/>
    </row>
    <row r="56" spans="1:16" s="223" customFormat="1" ht="13.5" customHeight="1" x14ac:dyDescent="0.25">
      <c r="A56" s="219" t="s">
        <v>4</v>
      </c>
      <c r="B56" s="367" t="s">
        <v>322</v>
      </c>
      <c r="C56" s="367"/>
      <c r="D56" s="367"/>
      <c r="E56" s="367"/>
      <c r="F56" s="367"/>
      <c r="G56" s="367"/>
      <c r="H56" s="225">
        <v>412.05</v>
      </c>
      <c r="I56" s="220">
        <f>H56</f>
        <v>412.05</v>
      </c>
      <c r="J56" s="221"/>
      <c r="K56" s="222"/>
      <c r="L56" s="222"/>
      <c r="M56" s="222"/>
      <c r="N56" s="222"/>
      <c r="O56" s="222"/>
      <c r="P56" s="222"/>
    </row>
    <row r="57" spans="1:16" ht="13.5" customHeight="1" x14ac:dyDescent="0.25">
      <c r="A57" s="137" t="s">
        <v>6</v>
      </c>
      <c r="B57" s="369" t="s">
        <v>310</v>
      </c>
      <c r="C57" s="369"/>
      <c r="D57" s="369"/>
      <c r="E57" s="369"/>
      <c r="F57" s="369"/>
      <c r="G57" s="369"/>
      <c r="H57" s="73">
        <v>141.68</v>
      </c>
      <c r="I57" s="177">
        <f>(H57*40%)</f>
        <v>56.672000000000004</v>
      </c>
      <c r="J57" s="57"/>
      <c r="K57" s="166">
        <f>H57-I57</f>
        <v>85.00800000000001</v>
      </c>
    </row>
    <row r="58" spans="1:16" ht="13.5" customHeight="1" x14ac:dyDescent="0.25">
      <c r="A58" s="136" t="s">
        <v>8</v>
      </c>
      <c r="B58" s="368" t="s">
        <v>329</v>
      </c>
      <c r="C58" s="368"/>
      <c r="D58" s="368"/>
      <c r="E58" s="368"/>
      <c r="F58" s="368"/>
      <c r="G58" s="368"/>
      <c r="H58" s="73">
        <f>I35</f>
        <v>1544.42</v>
      </c>
      <c r="I58" s="74">
        <f>(H58*26)*0.002/12</f>
        <v>6.6924866666666665</v>
      </c>
      <c r="J58" s="72"/>
    </row>
    <row r="59" spans="1:16" ht="13.5" customHeight="1" x14ac:dyDescent="0.25">
      <c r="A59" s="137" t="s">
        <v>24</v>
      </c>
      <c r="B59" s="358" t="s">
        <v>203</v>
      </c>
      <c r="C59" s="358"/>
      <c r="D59" s="358"/>
      <c r="E59" s="358"/>
      <c r="F59" s="358"/>
      <c r="G59" s="358"/>
      <c r="H59" s="73">
        <v>0</v>
      </c>
      <c r="I59" s="74">
        <f>(H59*6*0.02)/12</f>
        <v>0</v>
      </c>
      <c r="J59" s="72"/>
    </row>
    <row r="60" spans="1:16" ht="13.5" customHeight="1" x14ac:dyDescent="0.25">
      <c r="A60" s="137" t="s">
        <v>26</v>
      </c>
      <c r="B60" s="369" t="s">
        <v>202</v>
      </c>
      <c r="C60" s="369"/>
      <c r="D60" s="369"/>
      <c r="E60" s="369"/>
      <c r="F60" s="369"/>
      <c r="G60" s="369"/>
      <c r="H60" s="75">
        <v>0</v>
      </c>
      <c r="I60" s="76">
        <f>H60</f>
        <v>0</v>
      </c>
      <c r="J60" s="77"/>
    </row>
    <row r="61" spans="1:16" ht="13.5" customHeight="1" x14ac:dyDescent="0.25">
      <c r="A61" s="137" t="s">
        <v>28</v>
      </c>
      <c r="B61" s="358" t="s">
        <v>51</v>
      </c>
      <c r="C61" s="358"/>
      <c r="D61" s="358"/>
      <c r="E61" s="358"/>
      <c r="F61" s="358"/>
      <c r="G61" s="358"/>
      <c r="H61" s="73">
        <v>0</v>
      </c>
      <c r="I61" s="56">
        <f>H61</f>
        <v>0</v>
      </c>
      <c r="J61" s="57"/>
    </row>
    <row r="62" spans="1:16" s="78" customFormat="1" ht="13.5" customHeight="1" x14ac:dyDescent="0.25">
      <c r="A62" s="146" t="s">
        <v>45</v>
      </c>
      <c r="B62" s="369" t="s">
        <v>209</v>
      </c>
      <c r="C62" s="369"/>
      <c r="D62" s="369"/>
      <c r="E62" s="369"/>
      <c r="F62" s="369"/>
      <c r="G62" s="369"/>
      <c r="H62" s="75">
        <v>0</v>
      </c>
      <c r="I62" s="76">
        <f>H62</f>
        <v>0</v>
      </c>
      <c r="J62" s="77"/>
      <c r="K62" s="32"/>
      <c r="L62" s="32"/>
      <c r="M62" s="32"/>
      <c r="N62" s="32"/>
      <c r="O62" s="32"/>
      <c r="P62" s="32"/>
    </row>
    <row r="63" spans="1:16" ht="13.5" customHeight="1" x14ac:dyDescent="0.25">
      <c r="A63" s="336" t="s">
        <v>52</v>
      </c>
      <c r="B63" s="337"/>
      <c r="C63" s="337"/>
      <c r="D63" s="337"/>
      <c r="E63" s="337"/>
      <c r="F63" s="337"/>
      <c r="G63" s="337"/>
      <c r="H63" s="338"/>
      <c r="I63" s="69">
        <f>TRUNC(SUM(I55:I62),2)</f>
        <v>602.74</v>
      </c>
      <c r="J63" s="70"/>
    </row>
    <row r="64" spans="1:16" ht="12" customHeight="1" x14ac:dyDescent="0.25">
      <c r="A64" s="141"/>
      <c r="B64" s="141"/>
      <c r="C64" s="141"/>
      <c r="D64" s="141"/>
      <c r="E64" s="141"/>
      <c r="F64" s="141"/>
      <c r="G64" s="141"/>
      <c r="H64" s="141"/>
      <c r="I64" s="71"/>
      <c r="J64" s="71"/>
    </row>
    <row r="65" spans="1:16" ht="13.5" customHeight="1" x14ac:dyDescent="0.25">
      <c r="A65" s="335" t="s">
        <v>53</v>
      </c>
      <c r="B65" s="335"/>
      <c r="C65" s="335"/>
      <c r="D65" s="335"/>
      <c r="E65" s="335"/>
      <c r="F65" s="335"/>
      <c r="G65" s="335"/>
      <c r="H65" s="335"/>
      <c r="I65" s="335"/>
      <c r="J65" s="55"/>
    </row>
    <row r="66" spans="1:16" ht="13.5" customHeight="1" x14ac:dyDescent="0.25">
      <c r="A66" s="79" t="s">
        <v>31</v>
      </c>
      <c r="B66" s="368" t="s">
        <v>54</v>
      </c>
      <c r="C66" s="368"/>
      <c r="D66" s="368"/>
      <c r="E66" s="368"/>
      <c r="F66" s="368"/>
      <c r="G66" s="368"/>
      <c r="H66" s="368"/>
      <c r="I66" s="56">
        <f>I41</f>
        <v>300.30388888888888</v>
      </c>
      <c r="J66" s="57"/>
    </row>
    <row r="67" spans="1:16" ht="13.5" customHeight="1" x14ac:dyDescent="0.25">
      <c r="A67" s="79" t="s">
        <v>36</v>
      </c>
      <c r="B67" s="358" t="s">
        <v>55</v>
      </c>
      <c r="C67" s="358"/>
      <c r="D67" s="358"/>
      <c r="E67" s="358"/>
      <c r="F67" s="358"/>
      <c r="G67" s="358"/>
      <c r="H67" s="358"/>
      <c r="I67" s="56">
        <f>I52</f>
        <v>661.88693133333334</v>
      </c>
      <c r="J67" s="57"/>
    </row>
    <row r="68" spans="1:16" ht="13.5" customHeight="1" x14ac:dyDescent="0.25">
      <c r="A68" s="79" t="s">
        <v>48</v>
      </c>
      <c r="B68" s="358" t="s">
        <v>56</v>
      </c>
      <c r="C68" s="358"/>
      <c r="D68" s="358"/>
      <c r="E68" s="358"/>
      <c r="F68" s="358"/>
      <c r="G68" s="358"/>
      <c r="H68" s="358"/>
      <c r="I68" s="56">
        <f>I63</f>
        <v>602.74</v>
      </c>
      <c r="J68" s="57"/>
    </row>
    <row r="69" spans="1:16" ht="13.5" customHeight="1" x14ac:dyDescent="0.25">
      <c r="A69" s="335" t="s">
        <v>57</v>
      </c>
      <c r="B69" s="335"/>
      <c r="C69" s="335"/>
      <c r="D69" s="335"/>
      <c r="E69" s="335"/>
      <c r="F69" s="335"/>
      <c r="G69" s="335"/>
      <c r="H69" s="335"/>
      <c r="I69" s="60">
        <f>SUM(I66:I68)</f>
        <v>1564.9308202222223</v>
      </c>
      <c r="J69" s="61"/>
    </row>
    <row r="70" spans="1:16" x14ac:dyDescent="0.25">
      <c r="A70" s="141"/>
      <c r="B70" s="141"/>
      <c r="C70" s="141"/>
      <c r="D70" s="141"/>
      <c r="E70" s="141"/>
      <c r="F70" s="141"/>
      <c r="G70" s="141"/>
      <c r="H70" s="141"/>
      <c r="I70" s="71"/>
      <c r="J70" s="71"/>
    </row>
    <row r="71" spans="1:16" ht="13.5" customHeight="1" x14ac:dyDescent="0.25">
      <c r="A71" s="347" t="s">
        <v>125</v>
      </c>
      <c r="B71" s="347"/>
      <c r="C71" s="347"/>
      <c r="D71" s="347"/>
      <c r="E71" s="347"/>
      <c r="F71" s="347"/>
      <c r="G71" s="347"/>
      <c r="H71" s="347"/>
      <c r="I71" s="347"/>
      <c r="J71" s="54"/>
    </row>
    <row r="72" spans="1:16" ht="13.5" customHeight="1" x14ac:dyDescent="0.25">
      <c r="A72" s="203">
        <v>3</v>
      </c>
      <c r="B72" s="366" t="s">
        <v>58</v>
      </c>
      <c r="C72" s="366"/>
      <c r="D72" s="366"/>
      <c r="E72" s="366"/>
      <c r="F72" s="366"/>
      <c r="G72" s="366"/>
      <c r="H72" s="203" t="s">
        <v>18</v>
      </c>
      <c r="I72" s="203" t="s">
        <v>19</v>
      </c>
      <c r="J72" s="55"/>
    </row>
    <row r="73" spans="1:16" s="249" customFormat="1" ht="13.5" customHeight="1" x14ac:dyDescent="0.25">
      <c r="A73" s="219" t="s">
        <v>2</v>
      </c>
      <c r="B73" s="367" t="s">
        <v>59</v>
      </c>
      <c r="C73" s="367"/>
      <c r="D73" s="367"/>
      <c r="E73" s="367"/>
      <c r="F73" s="367"/>
      <c r="G73" s="367"/>
      <c r="H73" s="250">
        <f>0.05*(1/12)/30*3</f>
        <v>4.1666666666666664E-4</v>
      </c>
      <c r="I73" s="220">
        <f t="shared" ref="I73:I78" si="1">$I$35*H73</f>
        <v>0.64350833333333335</v>
      </c>
      <c r="J73" s="247"/>
      <c r="K73" s="248"/>
      <c r="L73" s="248"/>
      <c r="M73" s="248"/>
      <c r="N73" s="248"/>
      <c r="O73" s="248"/>
      <c r="P73" s="248"/>
    </row>
    <row r="74" spans="1:16" s="83" customFormat="1" ht="13.5" customHeight="1" x14ac:dyDescent="0.25">
      <c r="A74" s="201" t="s">
        <v>4</v>
      </c>
      <c r="B74" s="364" t="s">
        <v>60</v>
      </c>
      <c r="C74" s="364"/>
      <c r="D74" s="364"/>
      <c r="E74" s="364"/>
      <c r="F74" s="364"/>
      <c r="G74" s="364"/>
      <c r="H74" s="84">
        <f>H51*H73</f>
        <v>3.3333333333333335E-5</v>
      </c>
      <c r="I74" s="81">
        <f t="shared" si="1"/>
        <v>5.1480666666666675E-2</v>
      </c>
      <c r="J74" s="82"/>
      <c r="K74" s="21"/>
      <c r="L74" s="21"/>
      <c r="M74" s="21"/>
      <c r="N74" s="21"/>
      <c r="O74" s="21"/>
      <c r="P74" s="21"/>
    </row>
    <row r="75" spans="1:16" s="83" customFormat="1" ht="13.5" customHeight="1" x14ac:dyDescent="0.25">
      <c r="A75" s="201" t="s">
        <v>6</v>
      </c>
      <c r="B75" s="364" t="s">
        <v>61</v>
      </c>
      <c r="C75" s="364"/>
      <c r="D75" s="364"/>
      <c r="E75" s="364"/>
      <c r="F75" s="364"/>
      <c r="G75" s="364"/>
      <c r="H75" s="84">
        <f>40%*H51*5%</f>
        <v>1.6000000000000001E-3</v>
      </c>
      <c r="I75" s="81">
        <f t="shared" si="1"/>
        <v>2.4710720000000004</v>
      </c>
      <c r="J75" s="82"/>
      <c r="K75" s="21"/>
      <c r="L75" s="21"/>
      <c r="M75" s="21"/>
      <c r="N75" s="21"/>
      <c r="O75" s="21"/>
      <c r="P75" s="21"/>
    </row>
    <row r="76" spans="1:16" s="249" customFormat="1" ht="13.5" customHeight="1" x14ac:dyDescent="0.25">
      <c r="A76" s="219" t="s">
        <v>8</v>
      </c>
      <c r="B76" s="367" t="s">
        <v>62</v>
      </c>
      <c r="C76" s="367"/>
      <c r="D76" s="367"/>
      <c r="E76" s="367"/>
      <c r="F76" s="367"/>
      <c r="G76" s="367"/>
      <c r="H76" s="246">
        <f>(1/30)*7/12*100%/30*3</f>
        <v>1.9444444444444444E-3</v>
      </c>
      <c r="I76" s="220">
        <f t="shared" si="1"/>
        <v>3.0030388888888888</v>
      </c>
      <c r="J76" s="247"/>
      <c r="K76" s="248"/>
      <c r="L76" s="248"/>
      <c r="M76" s="248"/>
      <c r="N76" s="248"/>
      <c r="O76" s="248"/>
      <c r="P76" s="248"/>
    </row>
    <row r="77" spans="1:16" s="83" customFormat="1" ht="13.5" customHeight="1" x14ac:dyDescent="0.25">
      <c r="A77" s="201" t="s">
        <v>24</v>
      </c>
      <c r="B77" s="364" t="s">
        <v>63</v>
      </c>
      <c r="C77" s="364"/>
      <c r="D77" s="364"/>
      <c r="E77" s="364"/>
      <c r="F77" s="364"/>
      <c r="G77" s="364"/>
      <c r="H77" s="85">
        <f>H52*H76</f>
        <v>6.9766666666666675E-4</v>
      </c>
      <c r="I77" s="81">
        <f t="shared" si="1"/>
        <v>1.0774903533333335</v>
      </c>
      <c r="J77" s="82"/>
      <c r="K77" s="21"/>
      <c r="L77" s="21"/>
      <c r="M77" s="21"/>
      <c r="N77" s="21"/>
      <c r="O77" s="21"/>
      <c r="P77" s="21"/>
    </row>
    <row r="78" spans="1:16" s="83" customFormat="1" ht="13.5" customHeight="1" x14ac:dyDescent="0.25">
      <c r="A78" s="201" t="s">
        <v>26</v>
      </c>
      <c r="B78" s="364" t="s">
        <v>64</v>
      </c>
      <c r="C78" s="364"/>
      <c r="D78" s="364"/>
      <c r="E78" s="364"/>
      <c r="F78" s="364"/>
      <c r="G78" s="364"/>
      <c r="H78" s="80">
        <f>40%*H51*95%</f>
        <v>3.04E-2</v>
      </c>
      <c r="I78" s="81">
        <f t="shared" si="1"/>
        <v>46.950368000000005</v>
      </c>
      <c r="J78" s="82"/>
      <c r="K78" s="129">
        <f>H78+H75</f>
        <v>3.2000000000000001E-2</v>
      </c>
      <c r="L78" s="21"/>
      <c r="M78" s="21"/>
      <c r="N78" s="21"/>
      <c r="O78" s="21"/>
      <c r="P78" s="21"/>
    </row>
    <row r="79" spans="1:16" ht="13.5" customHeight="1" x14ac:dyDescent="0.25">
      <c r="A79" s="336" t="s">
        <v>65</v>
      </c>
      <c r="B79" s="337"/>
      <c r="C79" s="337"/>
      <c r="D79" s="337"/>
      <c r="E79" s="337"/>
      <c r="F79" s="337"/>
      <c r="G79" s="338"/>
      <c r="H79" s="63">
        <f>SUM(H73:H78)</f>
        <v>3.5092111111111109E-2</v>
      </c>
      <c r="I79" s="60">
        <f>SUM(I73:I78)</f>
        <v>54.196958242222223</v>
      </c>
      <c r="J79" s="61"/>
    </row>
    <row r="80" spans="1:16" x14ac:dyDescent="0.25">
      <c r="A80" s="141"/>
      <c r="B80" s="365"/>
      <c r="C80" s="365"/>
      <c r="D80" s="365"/>
      <c r="E80" s="365"/>
      <c r="F80" s="365"/>
      <c r="G80" s="365"/>
      <c r="H80" s="365"/>
      <c r="I80" s="144"/>
      <c r="J80" s="144"/>
    </row>
    <row r="81" spans="1:16" ht="13.5" customHeight="1" x14ac:dyDescent="0.25">
      <c r="A81" s="347" t="s">
        <v>126</v>
      </c>
      <c r="B81" s="347"/>
      <c r="C81" s="347"/>
      <c r="D81" s="347"/>
      <c r="E81" s="347"/>
      <c r="F81" s="347"/>
      <c r="G81" s="347"/>
      <c r="H81" s="347"/>
      <c r="I81" s="347"/>
      <c r="J81" s="54"/>
    </row>
    <row r="82" spans="1:16" ht="13.5" customHeight="1" x14ac:dyDescent="0.25">
      <c r="A82" s="142" t="s">
        <v>66</v>
      </c>
      <c r="B82" s="359" t="s">
        <v>67</v>
      </c>
      <c r="C82" s="359"/>
      <c r="D82" s="359"/>
      <c r="E82" s="359"/>
      <c r="F82" s="359"/>
      <c r="G82" s="359"/>
      <c r="H82" s="142" t="s">
        <v>18</v>
      </c>
      <c r="I82" s="142" t="s">
        <v>19</v>
      </c>
      <c r="J82" s="55"/>
    </row>
    <row r="83" spans="1:16" ht="13.5" customHeight="1" x14ac:dyDescent="0.25">
      <c r="A83" s="137" t="s">
        <v>2</v>
      </c>
      <c r="B83" s="334" t="s">
        <v>68</v>
      </c>
      <c r="C83" s="334"/>
      <c r="D83" s="334"/>
      <c r="E83" s="334"/>
      <c r="F83" s="334"/>
      <c r="G83" s="334"/>
      <c r="H83" s="86">
        <f>(( 1+1/3)/12)/12</f>
        <v>9.2592592592592587E-3</v>
      </c>
      <c r="I83" s="56">
        <f>SUM($I$35,$I$69,$I$79)*H83</f>
        <v>29.292109059855967</v>
      </c>
      <c r="J83" s="57"/>
    </row>
    <row r="84" spans="1:16" s="223" customFormat="1" ht="13.5" customHeight="1" x14ac:dyDescent="0.25">
      <c r="A84" s="219" t="s">
        <v>4</v>
      </c>
      <c r="B84" s="355" t="s">
        <v>69</v>
      </c>
      <c r="C84" s="355"/>
      <c r="D84" s="355"/>
      <c r="E84" s="355"/>
      <c r="F84" s="355"/>
      <c r="G84" s="355"/>
      <c r="H84" s="250">
        <v>0</v>
      </c>
      <c r="I84" s="220">
        <f>SUM($I$35,$I$69,$I$79)*H84</f>
        <v>0</v>
      </c>
      <c r="J84" s="221"/>
      <c r="K84" s="222"/>
      <c r="L84" s="222"/>
      <c r="M84" s="222"/>
      <c r="N84" s="222"/>
      <c r="O84" s="222"/>
      <c r="P84" s="222"/>
    </row>
    <row r="85" spans="1:16" s="223" customFormat="1" ht="13.5" customHeight="1" x14ac:dyDescent="0.25">
      <c r="A85" s="219" t="s">
        <v>6</v>
      </c>
      <c r="B85" s="355" t="s">
        <v>70</v>
      </c>
      <c r="C85" s="355"/>
      <c r="D85" s="355"/>
      <c r="E85" s="355"/>
      <c r="F85" s="355"/>
      <c r="G85" s="355"/>
      <c r="H85" s="250">
        <v>0</v>
      </c>
      <c r="I85" s="220">
        <f>SUM($I$35,$I$69,$I$79)*H85</f>
        <v>0</v>
      </c>
      <c r="J85" s="221"/>
      <c r="K85" s="222"/>
      <c r="L85" s="222"/>
      <c r="M85" s="222"/>
      <c r="N85" s="222"/>
      <c r="O85" s="222"/>
      <c r="P85" s="222"/>
    </row>
    <row r="86" spans="1:16" s="223" customFormat="1" ht="13.5" customHeight="1" x14ac:dyDescent="0.25">
      <c r="A86" s="219" t="s">
        <v>8</v>
      </c>
      <c r="B86" s="355" t="s">
        <v>71</v>
      </c>
      <c r="C86" s="355"/>
      <c r="D86" s="355"/>
      <c r="E86" s="355"/>
      <c r="F86" s="355"/>
      <c r="G86" s="355"/>
      <c r="H86" s="250">
        <v>0</v>
      </c>
      <c r="I86" s="220">
        <f>SUM($I$35,$I$69,$I$79)*H86</f>
        <v>0</v>
      </c>
      <c r="J86" s="221"/>
      <c r="K86" s="222"/>
      <c r="L86" s="222"/>
      <c r="M86" s="222"/>
      <c r="N86" s="222"/>
      <c r="O86" s="222"/>
      <c r="P86" s="222"/>
    </row>
    <row r="87" spans="1:16" s="223" customFormat="1" ht="13.5" customHeight="1" x14ac:dyDescent="0.25">
      <c r="A87" s="219" t="s">
        <v>24</v>
      </c>
      <c r="B87" s="355" t="s">
        <v>72</v>
      </c>
      <c r="C87" s="355"/>
      <c r="D87" s="355"/>
      <c r="E87" s="355"/>
      <c r="F87" s="355"/>
      <c r="G87" s="355"/>
      <c r="H87" s="250">
        <v>0</v>
      </c>
      <c r="I87" s="220">
        <f>SUM($I$35,$I$69,$I$79)*H87</f>
        <v>0</v>
      </c>
      <c r="J87" s="221"/>
      <c r="K87" s="222"/>
      <c r="L87" s="222"/>
      <c r="M87" s="222"/>
      <c r="N87" s="222"/>
      <c r="O87" s="222"/>
      <c r="P87" s="222"/>
    </row>
    <row r="88" spans="1:16" s="223" customFormat="1" ht="13.5" customHeight="1" x14ac:dyDescent="0.25">
      <c r="A88" s="219" t="s">
        <v>26</v>
      </c>
      <c r="B88" s="355" t="s">
        <v>134</v>
      </c>
      <c r="C88" s="355"/>
      <c r="D88" s="355"/>
      <c r="E88" s="355"/>
      <c r="F88" s="355"/>
      <c r="G88" s="355"/>
      <c r="H88" s="246">
        <v>0</v>
      </c>
      <c r="I88" s="220">
        <f t="shared" ref="I88" si="2">SUM($I$35,$I$69,$I$79)*H88</f>
        <v>0</v>
      </c>
      <c r="J88" s="221"/>
      <c r="K88" s="222"/>
      <c r="L88" s="222"/>
      <c r="M88" s="222"/>
      <c r="N88" s="222"/>
      <c r="O88" s="222"/>
      <c r="P88" s="222"/>
    </row>
    <row r="89" spans="1:16" ht="13.5" customHeight="1" x14ac:dyDescent="0.25">
      <c r="A89" s="87"/>
      <c r="B89" s="359" t="s">
        <v>73</v>
      </c>
      <c r="C89" s="359"/>
      <c r="D89" s="359"/>
      <c r="E89" s="359"/>
      <c r="F89" s="359"/>
      <c r="G89" s="359"/>
      <c r="H89" s="88">
        <f>SUM(H83:H88)</f>
        <v>9.2592592592592587E-3</v>
      </c>
      <c r="I89" s="64">
        <f>SUM(I83:I88)</f>
        <v>29.292109059855967</v>
      </c>
      <c r="J89" s="65"/>
      <c r="K89" s="31"/>
      <c r="L89" s="33"/>
      <c r="M89" s="34"/>
    </row>
    <row r="90" spans="1:16" ht="5.25" customHeight="1" x14ac:dyDescent="0.25">
      <c r="A90" s="89"/>
      <c r="B90" s="329"/>
      <c r="C90" s="329"/>
      <c r="D90" s="329"/>
      <c r="E90" s="329"/>
      <c r="F90" s="329"/>
      <c r="G90" s="330"/>
      <c r="H90" s="330"/>
      <c r="I90" s="72"/>
      <c r="J90" s="72"/>
    </row>
    <row r="91" spans="1:16" ht="13.5" customHeight="1" x14ac:dyDescent="0.25">
      <c r="A91" s="142" t="s">
        <v>74</v>
      </c>
      <c r="B91" s="360" t="s">
        <v>75</v>
      </c>
      <c r="C91" s="361"/>
      <c r="D91" s="361"/>
      <c r="E91" s="361"/>
      <c r="F91" s="361"/>
      <c r="G91" s="361"/>
      <c r="H91" s="362"/>
      <c r="I91" s="142" t="s">
        <v>19</v>
      </c>
      <c r="J91" s="55"/>
    </row>
    <row r="92" spans="1:16" ht="13.5" customHeight="1" x14ac:dyDescent="0.25">
      <c r="A92" s="137" t="s">
        <v>2</v>
      </c>
      <c r="B92" s="339" t="s">
        <v>208</v>
      </c>
      <c r="C92" s="340"/>
      <c r="D92" s="340"/>
      <c r="E92" s="340"/>
      <c r="F92" s="340"/>
      <c r="G92" s="340"/>
      <c r="H92" s="363"/>
      <c r="I92" s="90">
        <v>0</v>
      </c>
      <c r="J92" s="91"/>
    </row>
    <row r="93" spans="1:16" ht="13.5" customHeight="1" x14ac:dyDescent="0.25">
      <c r="A93" s="87"/>
      <c r="B93" s="336" t="s">
        <v>76</v>
      </c>
      <c r="C93" s="337"/>
      <c r="D93" s="337"/>
      <c r="E93" s="337"/>
      <c r="F93" s="337"/>
      <c r="G93" s="337"/>
      <c r="H93" s="338"/>
      <c r="I93" s="64">
        <f>SUM(I92)</f>
        <v>0</v>
      </c>
      <c r="J93" s="65"/>
    </row>
    <row r="94" spans="1:16" x14ac:dyDescent="0.25">
      <c r="A94" s="89"/>
      <c r="B94" s="329"/>
      <c r="C94" s="329"/>
      <c r="D94" s="329"/>
      <c r="E94" s="329"/>
      <c r="F94" s="329"/>
      <c r="G94" s="330"/>
      <c r="H94" s="330"/>
      <c r="I94" s="72"/>
      <c r="J94" s="72"/>
    </row>
    <row r="95" spans="1:16" ht="13.5" customHeight="1" x14ac:dyDescent="0.25">
      <c r="A95" s="356" t="s">
        <v>77</v>
      </c>
      <c r="B95" s="356"/>
      <c r="C95" s="356"/>
      <c r="D95" s="356"/>
      <c r="E95" s="356"/>
      <c r="F95" s="356"/>
      <c r="G95" s="356"/>
      <c r="H95" s="356"/>
      <c r="I95" s="356"/>
      <c r="J95" s="49"/>
    </row>
    <row r="96" spans="1:16" ht="13.5" customHeight="1" x14ac:dyDescent="0.25">
      <c r="A96" s="79" t="s">
        <v>66</v>
      </c>
      <c r="B96" s="357" t="s">
        <v>69</v>
      </c>
      <c r="C96" s="357"/>
      <c r="D96" s="357"/>
      <c r="E96" s="357"/>
      <c r="F96" s="357"/>
      <c r="G96" s="357"/>
      <c r="H96" s="357"/>
      <c r="I96" s="56">
        <f>I89</f>
        <v>29.292109059855967</v>
      </c>
      <c r="J96" s="57"/>
    </row>
    <row r="97" spans="1:16" ht="13.5" customHeight="1" x14ac:dyDescent="0.25">
      <c r="A97" s="79" t="s">
        <v>74</v>
      </c>
      <c r="B97" s="358" t="s">
        <v>78</v>
      </c>
      <c r="C97" s="358"/>
      <c r="D97" s="358"/>
      <c r="E97" s="358"/>
      <c r="F97" s="358"/>
      <c r="G97" s="358"/>
      <c r="H97" s="358"/>
      <c r="I97" s="56">
        <f>I93</f>
        <v>0</v>
      </c>
      <c r="J97" s="57"/>
    </row>
    <row r="98" spans="1:16" ht="13.5" customHeight="1" x14ac:dyDescent="0.25">
      <c r="A98" s="335" t="s">
        <v>79</v>
      </c>
      <c r="B98" s="335"/>
      <c r="C98" s="335"/>
      <c r="D98" s="335"/>
      <c r="E98" s="335"/>
      <c r="F98" s="335"/>
      <c r="G98" s="335"/>
      <c r="H98" s="335"/>
      <c r="I98" s="60">
        <f>SUM(I96:I97)</f>
        <v>29.292109059855967</v>
      </c>
      <c r="J98" s="61"/>
    </row>
    <row r="99" spans="1:16" x14ac:dyDescent="0.25">
      <c r="A99" s="89"/>
      <c r="B99" s="329"/>
      <c r="C99" s="329"/>
      <c r="D99" s="329"/>
      <c r="E99" s="329"/>
      <c r="F99" s="329"/>
      <c r="G99" s="330"/>
      <c r="H99" s="330"/>
      <c r="I99" s="72"/>
      <c r="J99" s="72"/>
    </row>
    <row r="100" spans="1:16" ht="13.5" customHeight="1" x14ac:dyDescent="0.25">
      <c r="A100" s="347" t="s">
        <v>128</v>
      </c>
      <c r="B100" s="347"/>
      <c r="C100" s="347"/>
      <c r="D100" s="347"/>
      <c r="E100" s="347"/>
      <c r="F100" s="347"/>
      <c r="G100" s="347"/>
      <c r="H100" s="347"/>
      <c r="I100" s="347"/>
      <c r="J100" s="54"/>
    </row>
    <row r="101" spans="1:16" ht="13.5" customHeight="1" x14ac:dyDescent="0.25">
      <c r="A101" s="142">
        <v>5</v>
      </c>
      <c r="B101" s="335" t="s">
        <v>80</v>
      </c>
      <c r="C101" s="335"/>
      <c r="D101" s="335"/>
      <c r="E101" s="335"/>
      <c r="F101" s="335"/>
      <c r="G101" s="335"/>
      <c r="H101" s="335"/>
      <c r="I101" s="142" t="s">
        <v>19</v>
      </c>
      <c r="J101" s="55"/>
    </row>
    <row r="102" spans="1:16" ht="13.5" customHeight="1" x14ac:dyDescent="0.25">
      <c r="A102" s="219" t="s">
        <v>2</v>
      </c>
      <c r="B102" s="355" t="s">
        <v>142</v>
      </c>
      <c r="C102" s="355"/>
      <c r="D102" s="355"/>
      <c r="E102" s="355"/>
      <c r="F102" s="355"/>
      <c r="G102" s="355"/>
      <c r="H102" s="355"/>
      <c r="I102" s="235">
        <f>UNIF!G20</f>
        <v>30.504843490153849</v>
      </c>
      <c r="J102" s="93"/>
    </row>
    <row r="103" spans="1:16" ht="13.5" customHeight="1" x14ac:dyDescent="0.25">
      <c r="A103" s="137" t="s">
        <v>4</v>
      </c>
      <c r="B103" s="349" t="s">
        <v>81</v>
      </c>
      <c r="C103" s="349"/>
      <c r="D103" s="349"/>
      <c r="E103" s="349"/>
      <c r="F103" s="349"/>
      <c r="G103" s="349"/>
      <c r="H103" s="349"/>
      <c r="I103" s="92">
        <v>0</v>
      </c>
      <c r="J103" s="93"/>
    </row>
    <row r="104" spans="1:16" ht="13.5" customHeight="1" x14ac:dyDescent="0.25">
      <c r="A104" s="137" t="s">
        <v>6</v>
      </c>
      <c r="B104" s="349" t="s">
        <v>316</v>
      </c>
      <c r="C104" s="349"/>
      <c r="D104" s="349"/>
      <c r="E104" s="349"/>
      <c r="F104" s="349"/>
      <c r="G104" s="349"/>
      <c r="H104" s="349"/>
      <c r="I104" s="92">
        <v>0</v>
      </c>
      <c r="J104" s="93"/>
    </row>
    <row r="105" spans="1:16" s="78" customFormat="1" ht="13.5" customHeight="1" x14ac:dyDescent="0.25">
      <c r="A105" s="146" t="s">
        <v>8</v>
      </c>
      <c r="B105" s="350" t="s">
        <v>132</v>
      </c>
      <c r="C105" s="351"/>
      <c r="D105" s="351"/>
      <c r="E105" s="351"/>
      <c r="F105" s="351"/>
      <c r="G105" s="351"/>
      <c r="H105" s="352"/>
      <c r="I105" s="76">
        <v>0</v>
      </c>
      <c r="J105" s="77"/>
      <c r="K105" s="32"/>
      <c r="L105" s="32"/>
      <c r="M105" s="32"/>
      <c r="N105" s="32"/>
      <c r="O105" s="32"/>
      <c r="P105" s="32"/>
    </row>
    <row r="106" spans="1:16" ht="13.5" customHeight="1" x14ac:dyDescent="0.25">
      <c r="A106" s="335" t="s">
        <v>82</v>
      </c>
      <c r="B106" s="335"/>
      <c r="C106" s="335"/>
      <c r="D106" s="335"/>
      <c r="E106" s="335"/>
      <c r="F106" s="335"/>
      <c r="G106" s="335"/>
      <c r="H106" s="335"/>
      <c r="I106" s="60">
        <f>SUM(I102:I105)</f>
        <v>30.504843490153849</v>
      </c>
      <c r="J106" s="61"/>
    </row>
    <row r="107" spans="1:16" x14ac:dyDescent="0.25">
      <c r="A107" s="353"/>
      <c r="B107" s="353"/>
      <c r="C107" s="353"/>
      <c r="D107" s="353"/>
      <c r="E107" s="353"/>
      <c r="F107" s="353"/>
      <c r="G107" s="354"/>
      <c r="H107" s="354"/>
      <c r="I107" s="66"/>
      <c r="J107" s="66"/>
    </row>
    <row r="108" spans="1:16" ht="13.5" customHeight="1" x14ac:dyDescent="0.25">
      <c r="A108" s="347" t="s">
        <v>129</v>
      </c>
      <c r="B108" s="347"/>
      <c r="C108" s="347"/>
      <c r="D108" s="347"/>
      <c r="E108" s="347"/>
      <c r="F108" s="347"/>
      <c r="G108" s="347"/>
      <c r="H108" s="347"/>
      <c r="I108" s="347"/>
      <c r="J108" s="54"/>
    </row>
    <row r="109" spans="1:16" ht="13.5" customHeight="1" x14ac:dyDescent="0.25">
      <c r="A109" s="142">
        <v>6</v>
      </c>
      <c r="B109" s="335" t="s">
        <v>83</v>
      </c>
      <c r="C109" s="335"/>
      <c r="D109" s="335"/>
      <c r="E109" s="335"/>
      <c r="F109" s="335"/>
      <c r="G109" s="335"/>
      <c r="H109" s="142" t="s">
        <v>18</v>
      </c>
      <c r="I109" s="142" t="s">
        <v>19</v>
      </c>
      <c r="J109" s="55"/>
    </row>
    <row r="110" spans="1:16" s="83" customFormat="1" ht="13.5" customHeight="1" x14ac:dyDescent="0.25">
      <c r="A110" s="145" t="s">
        <v>2</v>
      </c>
      <c r="B110" s="348" t="s">
        <v>84</v>
      </c>
      <c r="C110" s="348"/>
      <c r="D110" s="348"/>
      <c r="E110" s="348"/>
      <c r="F110" s="348"/>
      <c r="G110" s="348"/>
      <c r="H110" s="94">
        <v>1.4999999999999999E-2</v>
      </c>
      <c r="I110" s="95">
        <f>SUM($I$129)*H110</f>
        <v>48.350170965216812</v>
      </c>
      <c r="J110" s="96"/>
      <c r="K110" s="179" t="s">
        <v>312</v>
      </c>
      <c r="L110" s="180">
        <v>2790.2</v>
      </c>
      <c r="M110" s="180"/>
      <c r="N110" s="21"/>
      <c r="O110" s="21"/>
      <c r="P110" s="21"/>
    </row>
    <row r="111" spans="1:16" s="83" customFormat="1" ht="13.5" customHeight="1" x14ac:dyDescent="0.25">
      <c r="A111" s="145" t="s">
        <v>4</v>
      </c>
      <c r="B111" s="348" t="s">
        <v>85</v>
      </c>
      <c r="C111" s="348"/>
      <c r="D111" s="348"/>
      <c r="E111" s="348"/>
      <c r="F111" s="348"/>
      <c r="G111" s="348"/>
      <c r="H111" s="94">
        <v>1.316E-2</v>
      </c>
      <c r="I111" s="95">
        <f>SUM($I$129,I110)*H111</f>
        <v>43.05550491005247</v>
      </c>
      <c r="J111" s="96"/>
      <c r="K111" s="179" t="s">
        <v>313</v>
      </c>
      <c r="L111" s="180">
        <f>PROPOSTA!I39</f>
        <v>3545.41</v>
      </c>
      <c r="M111" s="180"/>
      <c r="N111" s="21"/>
      <c r="O111" s="21"/>
      <c r="P111" s="21"/>
    </row>
    <row r="112" spans="1:16" ht="13.5" customHeight="1" x14ac:dyDescent="0.25">
      <c r="A112" s="137"/>
      <c r="B112" s="342"/>
      <c r="C112" s="342"/>
      <c r="D112" s="342"/>
      <c r="E112" s="343" t="s">
        <v>86</v>
      </c>
      <c r="F112" s="343"/>
      <c r="G112" s="343"/>
      <c r="H112" s="343"/>
      <c r="I112" s="97"/>
      <c r="J112" s="98"/>
      <c r="L112" s="181">
        <f>L110-L111</f>
        <v>-755.21</v>
      </c>
      <c r="M112" s="181"/>
    </row>
    <row r="113" spans="1:10" ht="13.5" customHeight="1" x14ac:dyDescent="0.25">
      <c r="A113" s="137" t="s">
        <v>6</v>
      </c>
      <c r="B113" s="344" t="s">
        <v>87</v>
      </c>
      <c r="C113" s="344"/>
      <c r="D113" s="344"/>
      <c r="E113" s="345">
        <f>SUM(H115,H116,H119)</f>
        <v>6.5060000000000007E-2</v>
      </c>
      <c r="F113" s="346"/>
      <c r="G113" s="345">
        <f>1-((H115+H116+H119))</f>
        <v>0.93493999999999999</v>
      </c>
      <c r="H113" s="346"/>
      <c r="I113" s="99"/>
      <c r="J113" s="100"/>
    </row>
    <row r="114" spans="1:10" ht="13.5" customHeight="1" x14ac:dyDescent="0.25">
      <c r="A114" s="137" t="s">
        <v>88</v>
      </c>
      <c r="B114" s="339" t="s">
        <v>89</v>
      </c>
      <c r="C114" s="340"/>
      <c r="D114" s="340"/>
      <c r="E114" s="340"/>
      <c r="F114" s="340"/>
      <c r="G114" s="340"/>
      <c r="H114" s="340"/>
      <c r="I114" s="101"/>
      <c r="J114" s="102"/>
    </row>
    <row r="115" spans="1:10" ht="13.5" customHeight="1" x14ac:dyDescent="0.25">
      <c r="A115" s="103" t="s">
        <v>90</v>
      </c>
      <c r="B115" s="341" t="s">
        <v>91</v>
      </c>
      <c r="C115" s="341"/>
      <c r="D115" s="341"/>
      <c r="E115" s="341"/>
      <c r="F115" s="341"/>
      <c r="G115" s="341"/>
      <c r="H115" s="104">
        <v>2.6800000000000001E-3</v>
      </c>
      <c r="I115" s="97">
        <f>SUM($I$129,$I$110,$I$111)*H115/(1-$E$113)</f>
        <v>9.5017125061121153</v>
      </c>
      <c r="J115" s="98"/>
    </row>
    <row r="116" spans="1:10" ht="13.5" customHeight="1" x14ac:dyDescent="0.25">
      <c r="A116" s="103" t="s">
        <v>92</v>
      </c>
      <c r="B116" s="341" t="s">
        <v>93</v>
      </c>
      <c r="C116" s="341"/>
      <c r="D116" s="341"/>
      <c r="E116" s="341"/>
      <c r="F116" s="341"/>
      <c r="G116" s="341"/>
      <c r="H116" s="104">
        <v>1.238E-2</v>
      </c>
      <c r="I116" s="97">
        <f>SUM($I$129,$I$110,$I$111)*H116/(1-$E$113)</f>
        <v>43.892239114055208</v>
      </c>
      <c r="J116" s="98"/>
    </row>
    <row r="117" spans="1:10" ht="13.5" customHeight="1" x14ac:dyDescent="0.25">
      <c r="A117" s="137" t="s">
        <v>94</v>
      </c>
      <c r="B117" s="339" t="s">
        <v>95</v>
      </c>
      <c r="C117" s="340"/>
      <c r="D117" s="340"/>
      <c r="E117" s="340"/>
      <c r="F117" s="340"/>
      <c r="G117" s="340"/>
      <c r="H117" s="340"/>
      <c r="I117" s="101"/>
      <c r="J117" s="102"/>
    </row>
    <row r="118" spans="1:10" ht="13.5" customHeight="1" x14ac:dyDescent="0.25">
      <c r="A118" s="137" t="s">
        <v>96</v>
      </c>
      <c r="B118" s="339" t="s">
        <v>97</v>
      </c>
      <c r="C118" s="340"/>
      <c r="D118" s="340"/>
      <c r="E118" s="340"/>
      <c r="F118" s="340"/>
      <c r="G118" s="340"/>
      <c r="H118" s="340"/>
      <c r="I118" s="101"/>
      <c r="J118" s="102"/>
    </row>
    <row r="119" spans="1:10" ht="13.5" customHeight="1" x14ac:dyDescent="0.25">
      <c r="A119" s="103" t="s">
        <v>98</v>
      </c>
      <c r="B119" s="341" t="s">
        <v>99</v>
      </c>
      <c r="C119" s="341"/>
      <c r="D119" s="341"/>
      <c r="E119" s="341"/>
      <c r="F119" s="341"/>
      <c r="G119" s="341"/>
      <c r="H119" s="105">
        <v>0.05</v>
      </c>
      <c r="I119" s="97">
        <f>SUM($I$129,$I$110,$I$111)*H119/(1-$E$113)</f>
        <v>177.27075571104692</v>
      </c>
      <c r="J119" s="98"/>
    </row>
    <row r="120" spans="1:10" ht="13.5" customHeight="1" x14ac:dyDescent="0.25">
      <c r="A120" s="335" t="s">
        <v>100</v>
      </c>
      <c r="B120" s="335"/>
      <c r="C120" s="335"/>
      <c r="D120" s="335"/>
      <c r="E120" s="335"/>
      <c r="F120" s="335"/>
      <c r="G120" s="335"/>
      <c r="H120" s="335"/>
      <c r="I120" s="60">
        <f>SUM(I110:I119)</f>
        <v>322.07038320648348</v>
      </c>
      <c r="J120" s="61"/>
    </row>
    <row r="121" spans="1:10" x14ac:dyDescent="0.25">
      <c r="A121" s="89"/>
      <c r="B121" s="329"/>
      <c r="C121" s="329"/>
      <c r="D121" s="329"/>
      <c r="E121" s="329"/>
      <c r="F121" s="329"/>
      <c r="G121" s="330"/>
      <c r="H121" s="330"/>
      <c r="I121" s="72"/>
      <c r="J121" s="72"/>
    </row>
    <row r="122" spans="1:10" ht="13.5" customHeight="1" x14ac:dyDescent="0.25">
      <c r="A122" s="325" t="s">
        <v>101</v>
      </c>
      <c r="B122" s="325"/>
      <c r="C122" s="325"/>
      <c r="D122" s="325"/>
      <c r="E122" s="325"/>
      <c r="F122" s="325"/>
      <c r="G122" s="325"/>
      <c r="H122" s="325"/>
      <c r="I122" s="325"/>
      <c r="J122" s="106"/>
    </row>
    <row r="123" spans="1:10" ht="13.5" customHeight="1" x14ac:dyDescent="0.25">
      <c r="A123" s="142"/>
      <c r="B123" s="336" t="s">
        <v>102</v>
      </c>
      <c r="C123" s="337"/>
      <c r="D123" s="337"/>
      <c r="E123" s="337"/>
      <c r="F123" s="337"/>
      <c r="G123" s="337"/>
      <c r="H123" s="338"/>
      <c r="I123" s="142" t="s">
        <v>19</v>
      </c>
      <c r="J123" s="55"/>
    </row>
    <row r="124" spans="1:10" ht="13.5" customHeight="1" x14ac:dyDescent="0.25">
      <c r="A124" s="137" t="s">
        <v>2</v>
      </c>
      <c r="B124" s="333" t="s">
        <v>103</v>
      </c>
      <c r="C124" s="333"/>
      <c r="D124" s="333"/>
      <c r="E124" s="333"/>
      <c r="F124" s="333"/>
      <c r="G124" s="333"/>
      <c r="H124" s="333"/>
      <c r="I124" s="56">
        <f>I35</f>
        <v>1544.42</v>
      </c>
      <c r="J124" s="57"/>
    </row>
    <row r="125" spans="1:10" ht="13.5" customHeight="1" x14ac:dyDescent="0.25">
      <c r="A125" s="137" t="s">
        <v>4</v>
      </c>
      <c r="B125" s="333" t="s">
        <v>104</v>
      </c>
      <c r="C125" s="333"/>
      <c r="D125" s="333"/>
      <c r="E125" s="333"/>
      <c r="F125" s="333"/>
      <c r="G125" s="333"/>
      <c r="H125" s="333"/>
      <c r="I125" s="56">
        <f>I69</f>
        <v>1564.9308202222223</v>
      </c>
      <c r="J125" s="57"/>
    </row>
    <row r="126" spans="1:10" ht="13.5" customHeight="1" x14ac:dyDescent="0.25">
      <c r="A126" s="137" t="s">
        <v>6</v>
      </c>
      <c r="B126" s="333" t="s">
        <v>105</v>
      </c>
      <c r="C126" s="333"/>
      <c r="D126" s="333"/>
      <c r="E126" s="333"/>
      <c r="F126" s="333"/>
      <c r="G126" s="333"/>
      <c r="H126" s="333"/>
      <c r="I126" s="56">
        <f>I79</f>
        <v>54.196958242222223</v>
      </c>
      <c r="J126" s="57"/>
    </row>
    <row r="127" spans="1:10" ht="13.5" customHeight="1" x14ac:dyDescent="0.25">
      <c r="A127" s="137" t="s">
        <v>8</v>
      </c>
      <c r="B127" s="333" t="s">
        <v>106</v>
      </c>
      <c r="C127" s="333"/>
      <c r="D127" s="333"/>
      <c r="E127" s="333"/>
      <c r="F127" s="333"/>
      <c r="G127" s="333"/>
      <c r="H127" s="333"/>
      <c r="I127" s="56">
        <f>I98</f>
        <v>29.292109059855967</v>
      </c>
      <c r="J127" s="57"/>
    </row>
    <row r="128" spans="1:10" ht="13.5" customHeight="1" x14ac:dyDescent="0.25">
      <c r="A128" s="137" t="s">
        <v>24</v>
      </c>
      <c r="B128" s="333" t="s">
        <v>107</v>
      </c>
      <c r="C128" s="333"/>
      <c r="D128" s="333"/>
      <c r="E128" s="333"/>
      <c r="F128" s="333"/>
      <c r="G128" s="333"/>
      <c r="H128" s="333"/>
      <c r="I128" s="56">
        <f>I106</f>
        <v>30.504843490153849</v>
      </c>
      <c r="J128" s="57"/>
    </row>
    <row r="129" spans="1:12" ht="13.5" customHeight="1" x14ac:dyDescent="0.25">
      <c r="A129" s="328" t="s">
        <v>108</v>
      </c>
      <c r="B129" s="328"/>
      <c r="C129" s="328"/>
      <c r="D129" s="328"/>
      <c r="E129" s="328"/>
      <c r="F129" s="328"/>
      <c r="G129" s="328"/>
      <c r="H129" s="328"/>
      <c r="I129" s="107">
        <f>SUM(I124:I128)</f>
        <v>3223.3447310144543</v>
      </c>
      <c r="J129" s="108"/>
    </row>
    <row r="130" spans="1:12" ht="13.5" customHeight="1" x14ac:dyDescent="0.25">
      <c r="A130" s="137" t="s">
        <v>26</v>
      </c>
      <c r="B130" s="334" t="s">
        <v>109</v>
      </c>
      <c r="C130" s="334"/>
      <c r="D130" s="334"/>
      <c r="E130" s="334"/>
      <c r="F130" s="334"/>
      <c r="G130" s="334"/>
      <c r="H130" s="334"/>
      <c r="I130" s="56">
        <f>I120</f>
        <v>322.07038320648348</v>
      </c>
      <c r="J130" s="57"/>
    </row>
    <row r="131" spans="1:12" ht="13.5" customHeight="1" x14ac:dyDescent="0.25">
      <c r="A131" s="328" t="s">
        <v>110</v>
      </c>
      <c r="B131" s="328"/>
      <c r="C131" s="328"/>
      <c r="D131" s="328"/>
      <c r="E131" s="328"/>
      <c r="F131" s="328"/>
      <c r="G131" s="328"/>
      <c r="H131" s="328"/>
      <c r="I131" s="109">
        <f>TRUNC(SUM(I129:I130),2)</f>
        <v>3545.41</v>
      </c>
      <c r="J131" s="110"/>
      <c r="K131" s="35">
        <f>SUM(I35,I69,I79,I98,I106,I110,I111)/G113</f>
        <v>3545.415114220938</v>
      </c>
    </row>
    <row r="132" spans="1:12" ht="13.5" customHeight="1" x14ac:dyDescent="0.25">
      <c r="A132" s="89"/>
      <c r="B132" s="329"/>
      <c r="C132" s="329"/>
      <c r="D132" s="329"/>
      <c r="E132" s="329"/>
      <c r="F132" s="329"/>
      <c r="G132" s="330"/>
      <c r="H132" s="330"/>
      <c r="I132" s="72"/>
      <c r="J132" s="72"/>
    </row>
    <row r="133" spans="1:12" ht="13.5" customHeight="1" x14ac:dyDescent="0.25">
      <c r="A133" s="325" t="s">
        <v>111</v>
      </c>
      <c r="B133" s="325"/>
      <c r="C133" s="325"/>
      <c r="D133" s="325"/>
      <c r="E133" s="325"/>
      <c r="F133" s="325"/>
      <c r="G133" s="325"/>
      <c r="H133" s="325"/>
      <c r="I133" s="325"/>
      <c r="J133" s="106"/>
    </row>
    <row r="134" spans="1:12" ht="36" x14ac:dyDescent="0.25">
      <c r="A134" s="331" t="s">
        <v>112</v>
      </c>
      <c r="B134" s="331"/>
      <c r="C134" s="331"/>
      <c r="D134" s="111" t="s">
        <v>113</v>
      </c>
      <c r="E134" s="138" t="s">
        <v>120</v>
      </c>
      <c r="F134" s="332" t="s">
        <v>121</v>
      </c>
      <c r="G134" s="332"/>
      <c r="H134" s="112" t="s">
        <v>114</v>
      </c>
      <c r="I134" s="113" t="s">
        <v>122</v>
      </c>
      <c r="J134" s="114"/>
    </row>
    <row r="135" spans="1:12" ht="21" customHeight="1" x14ac:dyDescent="0.25">
      <c r="A135" s="136" t="s">
        <v>115</v>
      </c>
      <c r="B135" s="323" t="str">
        <f>H23</f>
        <v>MARCENEIRO</v>
      </c>
      <c r="C135" s="323"/>
      <c r="D135" s="115">
        <f>I131</f>
        <v>3545.41</v>
      </c>
      <c r="E135" s="136">
        <v>1</v>
      </c>
      <c r="F135" s="324">
        <f>(D135*E135)</f>
        <v>3545.41</v>
      </c>
      <c r="G135" s="324"/>
      <c r="H135" s="136">
        <f>H18</f>
        <v>1</v>
      </c>
      <c r="I135" s="143">
        <f>F135*H135</f>
        <v>3545.41</v>
      </c>
      <c r="J135" s="116"/>
    </row>
    <row r="136" spans="1:12" ht="13.5" customHeight="1" x14ac:dyDescent="0.25">
      <c r="A136" s="325" t="s">
        <v>116</v>
      </c>
      <c r="B136" s="325"/>
      <c r="C136" s="325"/>
      <c r="D136" s="325"/>
      <c r="E136" s="325"/>
      <c r="F136" s="325"/>
      <c r="G136" s="325"/>
      <c r="H136" s="325"/>
      <c r="I136" s="325"/>
      <c r="J136" s="106"/>
    </row>
    <row r="137" spans="1:12" ht="13.5" customHeight="1" x14ac:dyDescent="0.25">
      <c r="A137" s="136"/>
      <c r="B137" s="326" t="s">
        <v>117</v>
      </c>
      <c r="C137" s="326"/>
      <c r="D137" s="326"/>
      <c r="E137" s="326"/>
      <c r="F137" s="326"/>
      <c r="G137" s="326"/>
      <c r="H137" s="326"/>
      <c r="I137" s="117" t="s">
        <v>19</v>
      </c>
      <c r="J137" s="118"/>
    </row>
    <row r="138" spans="1:12" ht="13.5" customHeight="1" x14ac:dyDescent="0.25">
      <c r="A138" s="125" t="s">
        <v>2</v>
      </c>
      <c r="B138" s="327" t="s">
        <v>118</v>
      </c>
      <c r="C138" s="327"/>
      <c r="D138" s="327"/>
      <c r="E138" s="327"/>
      <c r="F138" s="327"/>
      <c r="G138" s="327"/>
      <c r="H138" s="327"/>
      <c r="I138" s="92">
        <f>F135</f>
        <v>3545.41</v>
      </c>
      <c r="J138" s="93"/>
      <c r="L138" s="35"/>
    </row>
    <row r="139" spans="1:12" ht="13.5" customHeight="1" x14ac:dyDescent="0.25">
      <c r="A139" s="136" t="s">
        <v>4</v>
      </c>
      <c r="B139" s="327" t="s">
        <v>119</v>
      </c>
      <c r="C139" s="327"/>
      <c r="D139" s="327"/>
      <c r="E139" s="327"/>
      <c r="F139" s="327"/>
      <c r="G139" s="327"/>
      <c r="H139" s="327"/>
      <c r="I139" s="92">
        <f>SUM(I138:I138)*H18</f>
        <v>3545.41</v>
      </c>
      <c r="J139" s="93"/>
      <c r="K139" s="122"/>
      <c r="L139" s="119"/>
    </row>
    <row r="140" spans="1:12" ht="13.5" customHeight="1" x14ac:dyDescent="0.25">
      <c r="A140" s="136" t="s">
        <v>6</v>
      </c>
      <c r="B140" s="323" t="s">
        <v>123</v>
      </c>
      <c r="C140" s="323"/>
      <c r="D140" s="323"/>
      <c r="E140" s="323"/>
      <c r="F140" s="323"/>
      <c r="G140" s="323"/>
      <c r="H140" s="323"/>
      <c r="I140" s="120">
        <f>(I139*12)</f>
        <v>42544.92</v>
      </c>
      <c r="J140" s="121"/>
    </row>
    <row r="141" spans="1:12" x14ac:dyDescent="0.25">
      <c r="I141" s="124"/>
    </row>
  </sheetData>
  <sheetProtection formatCells="0" formatColumns="0" formatRows="0" insertColumns="0" insertRows="0" insertHyperlinks="0" deleteColumns="0" deleteRows="0" sort="0" autoFilter="0" pivotTables="0"/>
  <mergeCells count="169">
    <mergeCell ref="A7:I7"/>
    <mergeCell ref="A8:I8"/>
    <mergeCell ref="A9:I9"/>
    <mergeCell ref="A10:I10"/>
    <mergeCell ref="A11:I11"/>
    <mergeCell ref="B12:D12"/>
    <mergeCell ref="E12:I12"/>
    <mergeCell ref="A1:I1"/>
    <mergeCell ref="A2:I2"/>
    <mergeCell ref="A3:I3"/>
    <mergeCell ref="A4:I4"/>
    <mergeCell ref="A5:I5"/>
    <mergeCell ref="A6:I6"/>
    <mergeCell ref="A16:I16"/>
    <mergeCell ref="A17:E17"/>
    <mergeCell ref="F17:G17"/>
    <mergeCell ref="H17:I17"/>
    <mergeCell ref="A18:E18"/>
    <mergeCell ref="F18:G18"/>
    <mergeCell ref="H18:I18"/>
    <mergeCell ref="B13:D13"/>
    <mergeCell ref="E13:I13"/>
    <mergeCell ref="B14:D14"/>
    <mergeCell ref="E14:I14"/>
    <mergeCell ref="B15:D15"/>
    <mergeCell ref="E15:I15"/>
    <mergeCell ref="B23:G23"/>
    <mergeCell ref="H23:I23"/>
    <mergeCell ref="B24:G24"/>
    <mergeCell ref="H24:I24"/>
    <mergeCell ref="A25:I25"/>
    <mergeCell ref="A26:I26"/>
    <mergeCell ref="A19:I19"/>
    <mergeCell ref="B20:G20"/>
    <mergeCell ref="H20:I20"/>
    <mergeCell ref="B21:G21"/>
    <mergeCell ref="H21:I21"/>
    <mergeCell ref="B22:G22"/>
    <mergeCell ref="H22:I22"/>
    <mergeCell ref="B30:F30"/>
    <mergeCell ref="G30:H30"/>
    <mergeCell ref="B31:F31"/>
    <mergeCell ref="G31:H31"/>
    <mergeCell ref="B32:F32"/>
    <mergeCell ref="G32:H32"/>
    <mergeCell ref="B27:F27"/>
    <mergeCell ref="G27:H27"/>
    <mergeCell ref="B28:F28"/>
    <mergeCell ref="G28:H28"/>
    <mergeCell ref="B29:F29"/>
    <mergeCell ref="G29:H29"/>
    <mergeCell ref="A37:I37"/>
    <mergeCell ref="B38:G38"/>
    <mergeCell ref="B39:G39"/>
    <mergeCell ref="B40:G40"/>
    <mergeCell ref="B41:G41"/>
    <mergeCell ref="B43:G43"/>
    <mergeCell ref="B33:F33"/>
    <mergeCell ref="G33:H33"/>
    <mergeCell ref="B34:F34"/>
    <mergeCell ref="G34:H34"/>
    <mergeCell ref="A35:H35"/>
    <mergeCell ref="A36:I36"/>
    <mergeCell ref="B50:G50"/>
    <mergeCell ref="B51:G51"/>
    <mergeCell ref="A52:G52"/>
    <mergeCell ref="B54:G54"/>
    <mergeCell ref="B55:G55"/>
    <mergeCell ref="B56:G56"/>
    <mergeCell ref="B44:G44"/>
    <mergeCell ref="B45:G45"/>
    <mergeCell ref="B46:G46"/>
    <mergeCell ref="B47:G47"/>
    <mergeCell ref="B48:G48"/>
    <mergeCell ref="B49:G49"/>
    <mergeCell ref="A63:H63"/>
    <mergeCell ref="A65:I65"/>
    <mergeCell ref="B66:H66"/>
    <mergeCell ref="B67:H67"/>
    <mergeCell ref="B68:H68"/>
    <mergeCell ref="A69:H69"/>
    <mergeCell ref="B57:G57"/>
    <mergeCell ref="B58:G58"/>
    <mergeCell ref="B59:G59"/>
    <mergeCell ref="B60:G60"/>
    <mergeCell ref="B61:G61"/>
    <mergeCell ref="B62:G62"/>
    <mergeCell ref="B77:G77"/>
    <mergeCell ref="B78:G78"/>
    <mergeCell ref="A79:G79"/>
    <mergeCell ref="B80:F80"/>
    <mergeCell ref="G80:H80"/>
    <mergeCell ref="A81:I81"/>
    <mergeCell ref="A71:I71"/>
    <mergeCell ref="B72:G72"/>
    <mergeCell ref="B73:G73"/>
    <mergeCell ref="B74:G74"/>
    <mergeCell ref="B75:G75"/>
    <mergeCell ref="B76:G76"/>
    <mergeCell ref="B88:G88"/>
    <mergeCell ref="B89:G89"/>
    <mergeCell ref="B90:F90"/>
    <mergeCell ref="G90:H90"/>
    <mergeCell ref="B91:H91"/>
    <mergeCell ref="B92:H92"/>
    <mergeCell ref="B82:G82"/>
    <mergeCell ref="B83:G83"/>
    <mergeCell ref="B84:G84"/>
    <mergeCell ref="B85:G85"/>
    <mergeCell ref="B86:G86"/>
    <mergeCell ref="B87:G87"/>
    <mergeCell ref="A98:H98"/>
    <mergeCell ref="B99:F99"/>
    <mergeCell ref="G99:H99"/>
    <mergeCell ref="A100:I100"/>
    <mergeCell ref="B101:H101"/>
    <mergeCell ref="B102:H102"/>
    <mergeCell ref="B93:H93"/>
    <mergeCell ref="B94:F94"/>
    <mergeCell ref="G94:H94"/>
    <mergeCell ref="A95:I95"/>
    <mergeCell ref="B96:H96"/>
    <mergeCell ref="B97:H97"/>
    <mergeCell ref="A108:I108"/>
    <mergeCell ref="B109:G109"/>
    <mergeCell ref="B110:G110"/>
    <mergeCell ref="B111:G111"/>
    <mergeCell ref="B103:H103"/>
    <mergeCell ref="B104:H104"/>
    <mergeCell ref="B105:H105"/>
    <mergeCell ref="A106:H106"/>
    <mergeCell ref="A107:F107"/>
    <mergeCell ref="G107:H107"/>
    <mergeCell ref="B114:H114"/>
    <mergeCell ref="B115:G115"/>
    <mergeCell ref="B116:G116"/>
    <mergeCell ref="B117:H117"/>
    <mergeCell ref="B118:H118"/>
    <mergeCell ref="B119:G119"/>
    <mergeCell ref="B112:D112"/>
    <mergeCell ref="E112:H112"/>
    <mergeCell ref="B113:D113"/>
    <mergeCell ref="E113:F113"/>
    <mergeCell ref="G113:H113"/>
    <mergeCell ref="B125:H125"/>
    <mergeCell ref="B126:H126"/>
    <mergeCell ref="B127:H127"/>
    <mergeCell ref="B128:H128"/>
    <mergeCell ref="A129:H129"/>
    <mergeCell ref="B130:H130"/>
    <mergeCell ref="A120:H120"/>
    <mergeCell ref="B121:F121"/>
    <mergeCell ref="G121:H121"/>
    <mergeCell ref="A122:I122"/>
    <mergeCell ref="B123:H123"/>
    <mergeCell ref="B124:H124"/>
    <mergeCell ref="B140:H140"/>
    <mergeCell ref="B135:C135"/>
    <mergeCell ref="F135:G135"/>
    <mergeCell ref="A136:I136"/>
    <mergeCell ref="B137:H137"/>
    <mergeCell ref="B138:H138"/>
    <mergeCell ref="B139:H139"/>
    <mergeCell ref="A131:H131"/>
    <mergeCell ref="B132:F132"/>
    <mergeCell ref="G132:H132"/>
    <mergeCell ref="A133:I133"/>
    <mergeCell ref="A134:C134"/>
    <mergeCell ref="F134:G134"/>
  </mergeCells>
  <pageMargins left="0.6692913385826772" right="0.19685039370078741" top="0.78740157480314965" bottom="0.6692913385826772" header="0.11811023622047245" footer="0.11811023622047245"/>
  <pageSetup paperSize="9" scale="75" firstPageNumber="0" fitToHeight="0" orientation="portrait" r:id="rId1"/>
  <headerFooter alignWithMargins="0">
    <oddHeader>&amp;R&amp;G</oddHeader>
    <oddFooter>&amp;L&amp;G</oddFooter>
  </headerFooter>
  <rowBreaks count="1" manualBreakCount="1">
    <brk id="70" max="8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141"/>
  <sheetViews>
    <sheetView view="pageBreakPreview" topLeftCell="D73" zoomScaleNormal="100" zoomScaleSheetLayoutView="100" workbookViewId="0">
      <selection activeCell="G95" sqref="G95"/>
    </sheetView>
  </sheetViews>
  <sheetFormatPr defaultRowHeight="15" x14ac:dyDescent="0.25"/>
  <cols>
    <col min="1" max="1" width="5.5703125" style="1" customWidth="1"/>
    <col min="2" max="3" width="19.42578125" style="1" customWidth="1"/>
    <col min="4" max="4" width="16.42578125" style="1" customWidth="1"/>
    <col min="5" max="5" width="12.42578125" style="1" customWidth="1"/>
    <col min="6" max="6" width="9.140625" style="1" customWidth="1"/>
    <col min="7" max="7" width="7.5703125" style="1" customWidth="1"/>
    <col min="8" max="8" width="12" style="1" customWidth="1"/>
    <col min="9" max="9" width="20.7109375" style="1" customWidth="1"/>
    <col min="10" max="10" width="2.5703125" style="1" customWidth="1"/>
    <col min="11" max="11" width="13" style="3" customWidth="1"/>
    <col min="12" max="12" width="12.5703125" style="3" customWidth="1"/>
    <col min="13" max="13" width="10.28515625" style="3" customWidth="1"/>
    <col min="14" max="16" width="8.7109375" style="3" customWidth="1"/>
    <col min="17" max="1025" width="8.7109375" style="1" customWidth="1"/>
    <col min="1026" max="16384" width="9.140625" style="1"/>
  </cols>
  <sheetData>
    <row r="1" spans="1:10" ht="15.75" x14ac:dyDescent="0.25">
      <c r="A1" s="302" t="s">
        <v>212</v>
      </c>
      <c r="B1" s="302"/>
      <c r="C1" s="302"/>
      <c r="D1" s="302"/>
      <c r="E1" s="302"/>
      <c r="F1" s="302"/>
      <c r="G1" s="302"/>
      <c r="H1" s="302"/>
      <c r="I1" s="302"/>
      <c r="J1" s="126"/>
    </row>
    <row r="2" spans="1:10" ht="15.75" x14ac:dyDescent="0.25">
      <c r="A2" s="302" t="s">
        <v>213</v>
      </c>
      <c r="B2" s="302"/>
      <c r="C2" s="302"/>
      <c r="D2" s="302"/>
      <c r="E2" s="302"/>
      <c r="F2" s="302"/>
      <c r="G2" s="302"/>
      <c r="H2" s="302"/>
      <c r="I2" s="302"/>
      <c r="J2" s="126"/>
    </row>
    <row r="3" spans="1:10" ht="15.75" x14ac:dyDescent="0.25">
      <c r="A3" s="302" t="s">
        <v>215</v>
      </c>
      <c r="B3" s="302"/>
      <c r="C3" s="302"/>
      <c r="D3" s="302"/>
      <c r="E3" s="302"/>
      <c r="F3" s="302"/>
      <c r="G3" s="302"/>
      <c r="H3" s="302"/>
      <c r="I3" s="302"/>
      <c r="J3" s="126"/>
    </row>
    <row r="4" spans="1:10" ht="15.75" x14ac:dyDescent="0.25">
      <c r="A4" s="302" t="s">
        <v>214</v>
      </c>
      <c r="B4" s="302"/>
      <c r="C4" s="302"/>
      <c r="D4" s="302"/>
      <c r="E4" s="302"/>
      <c r="F4" s="302"/>
      <c r="G4" s="302"/>
      <c r="H4" s="302"/>
      <c r="I4" s="302"/>
      <c r="J4" s="126"/>
    </row>
    <row r="5" spans="1:10" ht="15.75" x14ac:dyDescent="0.25">
      <c r="A5" s="396" t="s">
        <v>323</v>
      </c>
      <c r="B5" s="396"/>
      <c r="C5" s="396"/>
      <c r="D5" s="396"/>
      <c r="E5" s="396"/>
      <c r="F5" s="396"/>
      <c r="G5" s="396"/>
      <c r="H5" s="396"/>
      <c r="I5" s="396"/>
      <c r="J5" s="126"/>
    </row>
    <row r="6" spans="1:10" x14ac:dyDescent="0.25">
      <c r="A6" s="385"/>
      <c r="B6" s="385"/>
      <c r="C6" s="385"/>
      <c r="D6" s="385"/>
      <c r="E6" s="385"/>
      <c r="F6" s="385"/>
      <c r="G6" s="385"/>
      <c r="H6" s="385"/>
      <c r="I6" s="385"/>
      <c r="J6" s="139"/>
    </row>
    <row r="7" spans="1:10" ht="18.75" x14ac:dyDescent="0.25">
      <c r="A7" s="390" t="s">
        <v>0</v>
      </c>
      <c r="B7" s="390"/>
      <c r="C7" s="390"/>
      <c r="D7" s="390"/>
      <c r="E7" s="390"/>
      <c r="F7" s="390"/>
      <c r="G7" s="390"/>
      <c r="H7" s="390"/>
      <c r="I7" s="390"/>
      <c r="J7" s="140"/>
    </row>
    <row r="8" spans="1:10" x14ac:dyDescent="0.25">
      <c r="A8" s="385"/>
      <c r="B8" s="385"/>
      <c r="C8" s="385"/>
      <c r="D8" s="385"/>
      <c r="E8" s="385"/>
      <c r="F8" s="385"/>
      <c r="G8" s="385"/>
      <c r="H8" s="385"/>
      <c r="I8" s="385"/>
      <c r="J8" s="139"/>
    </row>
    <row r="9" spans="1:10" x14ac:dyDescent="0.25">
      <c r="A9" s="391" t="s">
        <v>255</v>
      </c>
      <c r="B9" s="391"/>
      <c r="C9" s="391"/>
      <c r="D9" s="391"/>
      <c r="E9" s="391"/>
      <c r="F9" s="391"/>
      <c r="G9" s="391"/>
      <c r="H9" s="391"/>
      <c r="I9" s="391"/>
      <c r="J9" s="37"/>
    </row>
    <row r="10" spans="1:10" ht="21.75" customHeight="1" thickBot="1" x14ac:dyDescent="0.3">
      <c r="A10" s="392" t="s">
        <v>0</v>
      </c>
      <c r="B10" s="392"/>
      <c r="C10" s="392"/>
      <c r="D10" s="392"/>
      <c r="E10" s="392"/>
      <c r="F10" s="392"/>
      <c r="G10" s="392"/>
      <c r="H10" s="392"/>
      <c r="I10" s="392"/>
      <c r="J10" s="44"/>
    </row>
    <row r="11" spans="1:10" ht="13.5" customHeight="1" x14ac:dyDescent="0.25">
      <c r="A11" s="393" t="s">
        <v>1</v>
      </c>
      <c r="B11" s="393"/>
      <c r="C11" s="393"/>
      <c r="D11" s="393"/>
      <c r="E11" s="393"/>
      <c r="F11" s="393"/>
      <c r="G11" s="393"/>
      <c r="H11" s="393"/>
      <c r="I11" s="393"/>
      <c r="J11" s="45"/>
    </row>
    <row r="12" spans="1:10" ht="13.5" customHeight="1" x14ac:dyDescent="0.25">
      <c r="A12" s="137" t="s">
        <v>2</v>
      </c>
      <c r="B12" s="349" t="s">
        <v>3</v>
      </c>
      <c r="C12" s="349"/>
      <c r="D12" s="349"/>
      <c r="E12" s="394">
        <f>MARCEN!E12</f>
        <v>45065</v>
      </c>
      <c r="F12" s="395"/>
      <c r="G12" s="395"/>
      <c r="H12" s="395"/>
      <c r="I12" s="395"/>
      <c r="J12" s="46"/>
    </row>
    <row r="13" spans="1:10" ht="13.5" customHeight="1" x14ac:dyDescent="0.25">
      <c r="A13" s="137" t="s">
        <v>4</v>
      </c>
      <c r="B13" s="387" t="s">
        <v>5</v>
      </c>
      <c r="C13" s="387"/>
      <c r="D13" s="387"/>
      <c r="E13" s="397" t="str">
        <f>MARCEN!E13</f>
        <v>Picos/PI</v>
      </c>
      <c r="F13" s="398"/>
      <c r="G13" s="398"/>
      <c r="H13" s="398"/>
      <c r="I13" s="398"/>
      <c r="J13" s="47"/>
    </row>
    <row r="14" spans="1:10" ht="13.5" customHeight="1" x14ac:dyDescent="0.25">
      <c r="A14" s="137" t="s">
        <v>6</v>
      </c>
      <c r="B14" s="387" t="s">
        <v>7</v>
      </c>
      <c r="C14" s="387"/>
      <c r="D14" s="387"/>
      <c r="E14" s="397" t="str">
        <f>MARCEN!E14</f>
        <v>PI000066/2023</v>
      </c>
      <c r="F14" s="398"/>
      <c r="G14" s="398"/>
      <c r="H14" s="398"/>
      <c r="I14" s="398"/>
      <c r="J14" s="48"/>
    </row>
    <row r="15" spans="1:10" ht="13.5" customHeight="1" x14ac:dyDescent="0.25">
      <c r="A15" s="137" t="s">
        <v>8</v>
      </c>
      <c r="B15" s="349" t="s">
        <v>9</v>
      </c>
      <c r="C15" s="349"/>
      <c r="D15" s="349"/>
      <c r="E15" s="342" t="s">
        <v>194</v>
      </c>
      <c r="F15" s="342"/>
      <c r="G15" s="342"/>
      <c r="H15" s="342"/>
      <c r="I15" s="342"/>
      <c r="J15" s="147"/>
    </row>
    <row r="16" spans="1:10" x14ac:dyDescent="0.25">
      <c r="A16" s="385"/>
      <c r="B16" s="385"/>
      <c r="C16" s="385"/>
      <c r="D16" s="385"/>
      <c r="E16" s="385"/>
      <c r="F16" s="385"/>
      <c r="G16" s="385"/>
      <c r="H16" s="385"/>
      <c r="I16" s="385"/>
      <c r="J16" s="139"/>
    </row>
    <row r="17" spans="1:16" ht="26.25" customHeight="1" x14ac:dyDescent="0.25">
      <c r="A17" s="335" t="s">
        <v>10</v>
      </c>
      <c r="B17" s="335"/>
      <c r="C17" s="335"/>
      <c r="D17" s="335"/>
      <c r="E17" s="335"/>
      <c r="F17" s="335" t="s">
        <v>11</v>
      </c>
      <c r="G17" s="335"/>
      <c r="H17" s="356" t="s">
        <v>207</v>
      </c>
      <c r="I17" s="356"/>
      <c r="J17" s="49"/>
      <c r="O17" s="30"/>
    </row>
    <row r="18" spans="1:16" x14ac:dyDescent="0.25">
      <c r="A18" s="342" t="str">
        <f>A9</f>
        <v>BOMBEIRO</v>
      </c>
      <c r="B18" s="342"/>
      <c r="C18" s="342"/>
      <c r="D18" s="342"/>
      <c r="E18" s="342"/>
      <c r="F18" s="342" t="s">
        <v>257</v>
      </c>
      <c r="G18" s="342"/>
      <c r="H18" s="386">
        <v>1</v>
      </c>
      <c r="I18" s="386"/>
      <c r="J18" s="50"/>
    </row>
    <row r="19" spans="1:16" x14ac:dyDescent="0.25">
      <c r="A19" s="356" t="s">
        <v>124</v>
      </c>
      <c r="B19" s="356"/>
      <c r="C19" s="356"/>
      <c r="D19" s="356"/>
      <c r="E19" s="356"/>
      <c r="F19" s="356"/>
      <c r="G19" s="356"/>
      <c r="H19" s="356"/>
      <c r="I19" s="356"/>
      <c r="J19" s="49"/>
    </row>
    <row r="20" spans="1:16" x14ac:dyDescent="0.25">
      <c r="A20" s="137">
        <v>1</v>
      </c>
      <c r="B20" s="349" t="s">
        <v>12</v>
      </c>
      <c r="C20" s="349"/>
      <c r="D20" s="349"/>
      <c r="E20" s="349"/>
      <c r="F20" s="349"/>
      <c r="G20" s="349"/>
      <c r="H20" s="379" t="s">
        <v>251</v>
      </c>
      <c r="I20" s="379"/>
      <c r="J20" s="147"/>
    </row>
    <row r="21" spans="1:16" x14ac:dyDescent="0.25">
      <c r="A21" s="137">
        <v>2</v>
      </c>
      <c r="B21" s="339" t="s">
        <v>216</v>
      </c>
      <c r="C21" s="340"/>
      <c r="D21" s="340"/>
      <c r="E21" s="340"/>
      <c r="F21" s="340"/>
      <c r="G21" s="380"/>
      <c r="H21" s="381" t="s">
        <v>256</v>
      </c>
      <c r="I21" s="382"/>
      <c r="J21" s="147"/>
    </row>
    <row r="22" spans="1:16" s="21" customFormat="1" ht="12.75" x14ac:dyDescent="0.2">
      <c r="A22" s="204">
        <v>3</v>
      </c>
      <c r="B22" s="383" t="s">
        <v>13</v>
      </c>
      <c r="C22" s="383"/>
      <c r="D22" s="383"/>
      <c r="E22" s="383"/>
      <c r="F22" s="383"/>
      <c r="G22" s="383"/>
      <c r="H22" s="384">
        <v>1544.42</v>
      </c>
      <c r="I22" s="384"/>
      <c r="J22" s="51"/>
    </row>
    <row r="23" spans="1:16" x14ac:dyDescent="0.25">
      <c r="A23" s="137">
        <v>4</v>
      </c>
      <c r="B23" s="349" t="s">
        <v>14</v>
      </c>
      <c r="C23" s="349"/>
      <c r="D23" s="349"/>
      <c r="E23" s="349"/>
      <c r="F23" s="349"/>
      <c r="G23" s="349"/>
      <c r="H23" s="374" t="str">
        <f>A9</f>
        <v>BOMBEIRO</v>
      </c>
      <c r="I23" s="374"/>
      <c r="J23" s="52"/>
      <c r="N23" s="4"/>
    </row>
    <row r="24" spans="1:16" x14ac:dyDescent="0.25">
      <c r="A24" s="137">
        <v>5</v>
      </c>
      <c r="B24" s="375" t="s">
        <v>15</v>
      </c>
      <c r="C24" s="375"/>
      <c r="D24" s="375"/>
      <c r="E24" s="375"/>
      <c r="F24" s="375"/>
      <c r="G24" s="375"/>
      <c r="H24" s="376">
        <v>44927</v>
      </c>
      <c r="I24" s="377"/>
      <c r="J24" s="53"/>
    </row>
    <row r="25" spans="1:16" x14ac:dyDescent="0.25">
      <c r="A25" s="378"/>
      <c r="B25" s="378"/>
      <c r="C25" s="378"/>
      <c r="D25" s="378"/>
      <c r="E25" s="378"/>
      <c r="F25" s="378"/>
      <c r="G25" s="378"/>
      <c r="H25" s="378"/>
      <c r="I25" s="378"/>
      <c r="J25" s="147"/>
    </row>
    <row r="26" spans="1:16" ht="13.5" customHeight="1" x14ac:dyDescent="0.25">
      <c r="A26" s="347" t="s">
        <v>16</v>
      </c>
      <c r="B26" s="347"/>
      <c r="C26" s="347"/>
      <c r="D26" s="347"/>
      <c r="E26" s="347"/>
      <c r="F26" s="347"/>
      <c r="G26" s="347"/>
      <c r="H26" s="347"/>
      <c r="I26" s="347"/>
      <c r="J26" s="54"/>
    </row>
    <row r="27" spans="1:16" ht="13.5" customHeight="1" x14ac:dyDescent="0.25">
      <c r="A27" s="142">
        <v>1</v>
      </c>
      <c r="B27" s="335" t="s">
        <v>17</v>
      </c>
      <c r="C27" s="335"/>
      <c r="D27" s="335"/>
      <c r="E27" s="335"/>
      <c r="F27" s="335"/>
      <c r="G27" s="335" t="s">
        <v>18</v>
      </c>
      <c r="H27" s="335"/>
      <c r="I27" s="142" t="s">
        <v>19</v>
      </c>
      <c r="J27" s="55"/>
    </row>
    <row r="28" spans="1:16" s="223" customFormat="1" ht="13.5" customHeight="1" x14ac:dyDescent="0.25">
      <c r="A28" s="219" t="s">
        <v>2</v>
      </c>
      <c r="B28" s="372" t="s">
        <v>20</v>
      </c>
      <c r="C28" s="372"/>
      <c r="D28" s="372"/>
      <c r="E28" s="372"/>
      <c r="F28" s="372"/>
      <c r="G28" s="373">
        <v>1</v>
      </c>
      <c r="H28" s="373"/>
      <c r="I28" s="220">
        <f>H22</f>
        <v>1544.42</v>
      </c>
      <c r="J28" s="221"/>
      <c r="K28" s="222"/>
      <c r="L28" s="222"/>
      <c r="M28" s="222"/>
      <c r="N28" s="222"/>
      <c r="O28" s="222"/>
      <c r="P28" s="222"/>
    </row>
    <row r="29" spans="1:16" ht="13.5" customHeight="1" x14ac:dyDescent="0.25">
      <c r="A29" s="137" t="s">
        <v>4</v>
      </c>
      <c r="B29" s="357" t="s">
        <v>21</v>
      </c>
      <c r="C29" s="357"/>
      <c r="D29" s="357"/>
      <c r="E29" s="357"/>
      <c r="F29" s="357"/>
      <c r="G29" s="370">
        <v>0</v>
      </c>
      <c r="H29" s="370"/>
      <c r="I29" s="58">
        <v>0</v>
      </c>
      <c r="J29" s="59"/>
    </row>
    <row r="30" spans="1:16" ht="13.5" customHeight="1" x14ac:dyDescent="0.25">
      <c r="A30" s="137" t="s">
        <v>6</v>
      </c>
      <c r="B30" s="357" t="s">
        <v>22</v>
      </c>
      <c r="C30" s="357"/>
      <c r="D30" s="357"/>
      <c r="E30" s="357"/>
      <c r="F30" s="357"/>
      <c r="G30" s="370">
        <v>0</v>
      </c>
      <c r="H30" s="370"/>
      <c r="I30" s="56">
        <f>(I28*G30)</f>
        <v>0</v>
      </c>
      <c r="J30" s="57"/>
    </row>
    <row r="31" spans="1:16" ht="13.5" customHeight="1" x14ac:dyDescent="0.25">
      <c r="A31" s="137" t="s">
        <v>8</v>
      </c>
      <c r="B31" s="357" t="s">
        <v>23</v>
      </c>
      <c r="C31" s="357"/>
      <c r="D31" s="357"/>
      <c r="E31" s="357"/>
      <c r="F31" s="357"/>
      <c r="G31" s="370">
        <v>0</v>
      </c>
      <c r="H31" s="370"/>
      <c r="I31" s="56">
        <v>0</v>
      </c>
      <c r="J31" s="57"/>
    </row>
    <row r="32" spans="1:16" ht="13.5" customHeight="1" x14ac:dyDescent="0.25">
      <c r="A32" s="137" t="s">
        <v>24</v>
      </c>
      <c r="B32" s="357" t="s">
        <v>25</v>
      </c>
      <c r="C32" s="357"/>
      <c r="D32" s="357"/>
      <c r="E32" s="357"/>
      <c r="F32" s="357"/>
      <c r="G32" s="370">
        <v>0</v>
      </c>
      <c r="H32" s="370"/>
      <c r="I32" s="56">
        <v>0</v>
      </c>
      <c r="J32" s="57"/>
    </row>
    <row r="33" spans="1:16" ht="13.5" customHeight="1" x14ac:dyDescent="0.25">
      <c r="A33" s="137" t="s">
        <v>26</v>
      </c>
      <c r="B33" s="357" t="s">
        <v>27</v>
      </c>
      <c r="C33" s="357"/>
      <c r="D33" s="357"/>
      <c r="E33" s="357"/>
      <c r="F33" s="357"/>
      <c r="G33" s="370">
        <v>0</v>
      </c>
      <c r="H33" s="370"/>
      <c r="I33" s="56">
        <v>0</v>
      </c>
      <c r="J33" s="57"/>
    </row>
    <row r="34" spans="1:16" ht="13.5" customHeight="1" x14ac:dyDescent="0.25">
      <c r="A34" s="137" t="s">
        <v>28</v>
      </c>
      <c r="B34" s="349" t="s">
        <v>29</v>
      </c>
      <c r="C34" s="349"/>
      <c r="D34" s="349"/>
      <c r="E34" s="349"/>
      <c r="F34" s="349"/>
      <c r="G34" s="370">
        <v>0</v>
      </c>
      <c r="H34" s="370"/>
      <c r="I34" s="56">
        <v>0</v>
      </c>
      <c r="J34" s="57"/>
    </row>
    <row r="35" spans="1:16" ht="13.5" customHeight="1" x14ac:dyDescent="0.25">
      <c r="A35" s="335" t="s">
        <v>30</v>
      </c>
      <c r="B35" s="335"/>
      <c r="C35" s="335"/>
      <c r="D35" s="335"/>
      <c r="E35" s="335"/>
      <c r="F35" s="335"/>
      <c r="G35" s="335"/>
      <c r="H35" s="335"/>
      <c r="I35" s="60">
        <f>SUM(I28:I34)</f>
        <v>1544.42</v>
      </c>
      <c r="J35" s="61"/>
    </row>
    <row r="36" spans="1:16" x14ac:dyDescent="0.25">
      <c r="A36" s="371"/>
      <c r="B36" s="371"/>
      <c r="C36" s="371"/>
      <c r="D36" s="371"/>
      <c r="E36" s="371"/>
      <c r="F36" s="371"/>
      <c r="G36" s="371"/>
      <c r="H36" s="371"/>
      <c r="I36" s="371"/>
      <c r="J36" s="149"/>
    </row>
    <row r="37" spans="1:16" ht="13.5" customHeight="1" x14ac:dyDescent="0.25">
      <c r="A37" s="347" t="s">
        <v>127</v>
      </c>
      <c r="B37" s="347"/>
      <c r="C37" s="347"/>
      <c r="D37" s="347"/>
      <c r="E37" s="347"/>
      <c r="F37" s="347"/>
      <c r="G37" s="347"/>
      <c r="H37" s="347"/>
      <c r="I37" s="347"/>
      <c r="J37" s="54"/>
    </row>
    <row r="38" spans="1:16" ht="13.5" customHeight="1" x14ac:dyDescent="0.25">
      <c r="A38" s="142" t="s">
        <v>31</v>
      </c>
      <c r="B38" s="359" t="s">
        <v>32</v>
      </c>
      <c r="C38" s="359"/>
      <c r="D38" s="359"/>
      <c r="E38" s="359"/>
      <c r="F38" s="359"/>
      <c r="G38" s="359"/>
      <c r="H38" s="142" t="s">
        <v>18</v>
      </c>
      <c r="I38" s="142" t="s">
        <v>19</v>
      </c>
      <c r="J38" s="55"/>
    </row>
    <row r="39" spans="1:16" ht="13.5" customHeight="1" x14ac:dyDescent="0.25">
      <c r="A39" s="137" t="s">
        <v>2</v>
      </c>
      <c r="B39" s="358" t="s">
        <v>33</v>
      </c>
      <c r="C39" s="358"/>
      <c r="D39" s="358"/>
      <c r="E39" s="358"/>
      <c r="F39" s="358"/>
      <c r="G39" s="358"/>
      <c r="H39" s="148">
        <f>(1/12)*1</f>
        <v>8.3333333333333329E-2</v>
      </c>
      <c r="I39" s="56">
        <f>$I$35*H39</f>
        <v>128.70166666666665</v>
      </c>
      <c r="J39" s="57"/>
    </row>
    <row r="40" spans="1:16" ht="13.5" customHeight="1" x14ac:dyDescent="0.25">
      <c r="A40" s="137" t="s">
        <v>4</v>
      </c>
      <c r="B40" s="358" t="s">
        <v>34</v>
      </c>
      <c r="C40" s="358"/>
      <c r="D40" s="358"/>
      <c r="E40" s="358"/>
      <c r="F40" s="358"/>
      <c r="G40" s="358"/>
      <c r="H40" s="148">
        <f>((1+1/3)/12)*1</f>
        <v>0.1111111111111111</v>
      </c>
      <c r="I40" s="56">
        <f>$I$35*H40</f>
        <v>171.60222222222222</v>
      </c>
      <c r="J40" s="57"/>
    </row>
    <row r="41" spans="1:16" ht="13.5" customHeight="1" x14ac:dyDescent="0.25">
      <c r="A41" s="62"/>
      <c r="B41" s="335" t="s">
        <v>35</v>
      </c>
      <c r="C41" s="335"/>
      <c r="D41" s="335"/>
      <c r="E41" s="335"/>
      <c r="F41" s="335"/>
      <c r="G41" s="335"/>
      <c r="H41" s="63">
        <f>SUM(H39:H40)</f>
        <v>0.19444444444444442</v>
      </c>
      <c r="I41" s="64">
        <f>SUM(I39:I40)</f>
        <v>300.30388888888888</v>
      </c>
      <c r="J41" s="65"/>
      <c r="K41" s="31">
        <f>H52*H41</f>
        <v>6.9766666666666671E-2</v>
      </c>
    </row>
    <row r="42" spans="1:16" ht="9.75" customHeight="1" x14ac:dyDescent="0.25">
      <c r="A42" s="141"/>
      <c r="B42" s="141"/>
      <c r="C42" s="141"/>
      <c r="D42" s="141"/>
      <c r="E42" s="141"/>
      <c r="F42" s="141"/>
      <c r="G42" s="141"/>
      <c r="H42" s="141"/>
      <c r="I42" s="66"/>
      <c r="J42" s="66"/>
    </row>
    <row r="43" spans="1:16" ht="13.5" customHeight="1" x14ac:dyDescent="0.25">
      <c r="A43" s="142" t="s">
        <v>36</v>
      </c>
      <c r="B43" s="359" t="s">
        <v>37</v>
      </c>
      <c r="C43" s="359"/>
      <c r="D43" s="359"/>
      <c r="E43" s="359"/>
      <c r="F43" s="359"/>
      <c r="G43" s="359"/>
      <c r="H43" s="142" t="s">
        <v>18</v>
      </c>
      <c r="I43" s="142" t="s">
        <v>19</v>
      </c>
      <c r="J43" s="55"/>
    </row>
    <row r="44" spans="1:16" ht="13.5" customHeight="1" x14ac:dyDescent="0.25">
      <c r="A44" s="137" t="s">
        <v>2</v>
      </c>
      <c r="B44" s="358" t="s">
        <v>38</v>
      </c>
      <c r="C44" s="358"/>
      <c r="D44" s="358"/>
      <c r="E44" s="358"/>
      <c r="F44" s="358"/>
      <c r="G44" s="358"/>
      <c r="H44" s="128">
        <v>0.2</v>
      </c>
      <c r="I44" s="56">
        <f>SUM($I$35,$I$41)*H44</f>
        <v>368.9447777777778</v>
      </c>
      <c r="J44" s="57"/>
    </row>
    <row r="45" spans="1:16" ht="13.5" customHeight="1" x14ac:dyDescent="0.25">
      <c r="A45" s="137" t="s">
        <v>4</v>
      </c>
      <c r="B45" s="358" t="s">
        <v>39</v>
      </c>
      <c r="C45" s="358"/>
      <c r="D45" s="358"/>
      <c r="E45" s="358"/>
      <c r="F45" s="358"/>
      <c r="G45" s="358"/>
      <c r="H45" s="67">
        <v>2.5000000000000001E-2</v>
      </c>
      <c r="I45" s="56">
        <f t="shared" ref="I45:I51" si="0">SUM($I$35,$I$41)*H45</f>
        <v>46.118097222222225</v>
      </c>
      <c r="J45" s="57"/>
    </row>
    <row r="46" spans="1:16" s="83" customFormat="1" ht="13.5" customHeight="1" x14ac:dyDescent="0.25">
      <c r="A46" s="205" t="s">
        <v>6</v>
      </c>
      <c r="B46" s="364" t="s">
        <v>40</v>
      </c>
      <c r="C46" s="364"/>
      <c r="D46" s="364"/>
      <c r="E46" s="364"/>
      <c r="F46" s="364"/>
      <c r="G46" s="364"/>
      <c r="H46" s="207">
        <v>2.0799999999999999E-2</v>
      </c>
      <c r="I46" s="81">
        <f t="shared" si="0"/>
        <v>38.370256888888889</v>
      </c>
      <c r="J46" s="82"/>
      <c r="K46" s="21"/>
      <c r="L46" s="21"/>
      <c r="M46" s="21"/>
      <c r="N46" s="21"/>
      <c r="O46" s="21"/>
      <c r="P46" s="21"/>
    </row>
    <row r="47" spans="1:16" ht="13.5" customHeight="1" x14ac:dyDescent="0.25">
      <c r="A47" s="137" t="s">
        <v>8</v>
      </c>
      <c r="B47" s="358" t="s">
        <v>41</v>
      </c>
      <c r="C47" s="358"/>
      <c r="D47" s="358"/>
      <c r="E47" s="358"/>
      <c r="F47" s="358"/>
      <c r="G47" s="358"/>
      <c r="H47" s="68">
        <v>1.4999999999999999E-2</v>
      </c>
      <c r="I47" s="56">
        <f t="shared" si="0"/>
        <v>27.670858333333332</v>
      </c>
      <c r="J47" s="57"/>
    </row>
    <row r="48" spans="1:16" ht="13.5" customHeight="1" x14ac:dyDescent="0.25">
      <c r="A48" s="137" t="s">
        <v>24</v>
      </c>
      <c r="B48" s="358" t="s">
        <v>42</v>
      </c>
      <c r="C48" s="358"/>
      <c r="D48" s="358"/>
      <c r="E48" s="358"/>
      <c r="F48" s="358"/>
      <c r="G48" s="358"/>
      <c r="H48" s="68">
        <v>0.01</v>
      </c>
      <c r="I48" s="56">
        <f t="shared" si="0"/>
        <v>18.44723888888889</v>
      </c>
      <c r="J48" s="57"/>
    </row>
    <row r="49" spans="1:16" ht="13.5" customHeight="1" x14ac:dyDescent="0.25">
      <c r="A49" s="137" t="s">
        <v>26</v>
      </c>
      <c r="B49" s="358" t="s">
        <v>43</v>
      </c>
      <c r="C49" s="358"/>
      <c r="D49" s="358"/>
      <c r="E49" s="358"/>
      <c r="F49" s="358"/>
      <c r="G49" s="358"/>
      <c r="H49" s="68">
        <v>6.0000000000000001E-3</v>
      </c>
      <c r="I49" s="56">
        <f t="shared" si="0"/>
        <v>11.068343333333335</v>
      </c>
      <c r="J49" s="57"/>
    </row>
    <row r="50" spans="1:16" ht="13.5" customHeight="1" x14ac:dyDescent="0.25">
      <c r="A50" s="137" t="s">
        <v>28</v>
      </c>
      <c r="B50" s="358" t="s">
        <v>44</v>
      </c>
      <c r="C50" s="358"/>
      <c r="D50" s="358"/>
      <c r="E50" s="358"/>
      <c r="F50" s="358"/>
      <c r="G50" s="358"/>
      <c r="H50" s="68">
        <v>2E-3</v>
      </c>
      <c r="I50" s="56">
        <f t="shared" si="0"/>
        <v>3.6894477777777781</v>
      </c>
      <c r="J50" s="57"/>
    </row>
    <row r="51" spans="1:16" ht="13.5" customHeight="1" x14ac:dyDescent="0.25">
      <c r="A51" s="137" t="s">
        <v>45</v>
      </c>
      <c r="B51" s="358" t="s">
        <v>46</v>
      </c>
      <c r="C51" s="358"/>
      <c r="D51" s="358"/>
      <c r="E51" s="358"/>
      <c r="F51" s="358"/>
      <c r="G51" s="358"/>
      <c r="H51" s="68">
        <v>0.08</v>
      </c>
      <c r="I51" s="56">
        <f t="shared" si="0"/>
        <v>147.57791111111112</v>
      </c>
      <c r="J51" s="57"/>
    </row>
    <row r="52" spans="1:16" ht="13.5" customHeight="1" x14ac:dyDescent="0.25">
      <c r="A52" s="336" t="s">
        <v>47</v>
      </c>
      <c r="B52" s="337"/>
      <c r="C52" s="337"/>
      <c r="D52" s="337"/>
      <c r="E52" s="337"/>
      <c r="F52" s="337"/>
      <c r="G52" s="338"/>
      <c r="H52" s="63">
        <f>SUM(H44:H51)</f>
        <v>0.35880000000000006</v>
      </c>
      <c r="I52" s="69">
        <f>SUM(I44:I51)</f>
        <v>661.88693133333334</v>
      </c>
      <c r="J52" s="70"/>
    </row>
    <row r="53" spans="1:16" ht="10.5" customHeight="1" x14ac:dyDescent="0.25">
      <c r="A53" s="141"/>
      <c r="B53" s="141"/>
      <c r="C53" s="141"/>
      <c r="D53" s="141"/>
      <c r="E53" s="141"/>
      <c r="F53" s="141"/>
      <c r="G53" s="141"/>
      <c r="H53" s="141"/>
      <c r="I53" s="71"/>
      <c r="J53" s="71"/>
    </row>
    <row r="54" spans="1:16" ht="13.5" customHeight="1" x14ac:dyDescent="0.25">
      <c r="A54" s="142" t="s">
        <v>48</v>
      </c>
      <c r="B54" s="359" t="s">
        <v>49</v>
      </c>
      <c r="C54" s="359"/>
      <c r="D54" s="359"/>
      <c r="E54" s="359"/>
      <c r="F54" s="359"/>
      <c r="G54" s="359"/>
      <c r="H54" s="142" t="s">
        <v>50</v>
      </c>
      <c r="I54" s="142" t="s">
        <v>19</v>
      </c>
      <c r="J54" s="55"/>
    </row>
    <row r="55" spans="1:16" s="223" customFormat="1" ht="13.5" customHeight="1" x14ac:dyDescent="0.25">
      <c r="A55" s="219" t="s">
        <v>2</v>
      </c>
      <c r="B55" s="367" t="s">
        <v>324</v>
      </c>
      <c r="C55" s="367"/>
      <c r="D55" s="367"/>
      <c r="E55" s="367"/>
      <c r="F55" s="367"/>
      <c r="G55" s="367"/>
      <c r="H55" s="225">
        <v>5</v>
      </c>
      <c r="I55" s="226">
        <f>(H55*2*22)-(I28*6%)</f>
        <v>127.3348</v>
      </c>
      <c r="J55" s="227"/>
      <c r="K55" s="224"/>
      <c r="L55" s="222"/>
      <c r="M55" s="222"/>
      <c r="N55" s="222"/>
      <c r="O55" s="222"/>
      <c r="P55" s="222"/>
    </row>
    <row r="56" spans="1:16" s="223" customFormat="1" ht="13.5" customHeight="1" x14ac:dyDescent="0.25">
      <c r="A56" s="219" t="s">
        <v>4</v>
      </c>
      <c r="B56" s="367" t="s">
        <v>322</v>
      </c>
      <c r="C56" s="367"/>
      <c r="D56" s="367"/>
      <c r="E56" s="367"/>
      <c r="F56" s="367"/>
      <c r="G56" s="367"/>
      <c r="H56" s="225">
        <v>412.05</v>
      </c>
      <c r="I56" s="220">
        <f>H56</f>
        <v>412.05</v>
      </c>
      <c r="J56" s="221"/>
      <c r="K56" s="222"/>
      <c r="L56" s="222"/>
      <c r="M56" s="222"/>
      <c r="N56" s="222"/>
      <c r="O56" s="222"/>
      <c r="P56" s="222"/>
    </row>
    <row r="57" spans="1:16" ht="13.5" customHeight="1" x14ac:dyDescent="0.25">
      <c r="A57" s="137" t="s">
        <v>6</v>
      </c>
      <c r="B57" s="369" t="s">
        <v>310</v>
      </c>
      <c r="C57" s="369"/>
      <c r="D57" s="369"/>
      <c r="E57" s="369"/>
      <c r="F57" s="369"/>
      <c r="G57" s="369"/>
      <c r="H57" s="73">
        <v>141.68</v>
      </c>
      <c r="I57" s="177">
        <f>(H57*40%)</f>
        <v>56.672000000000004</v>
      </c>
      <c r="J57" s="57"/>
      <c r="K57" s="166"/>
    </row>
    <row r="58" spans="1:16" ht="13.5" customHeight="1" x14ac:dyDescent="0.25">
      <c r="A58" s="136" t="s">
        <v>8</v>
      </c>
      <c r="B58" s="368" t="s">
        <v>252</v>
      </c>
      <c r="C58" s="368"/>
      <c r="D58" s="368"/>
      <c r="E58" s="368"/>
      <c r="F58" s="368"/>
      <c r="G58" s="368"/>
      <c r="H58" s="73">
        <f>I35</f>
        <v>1544.42</v>
      </c>
      <c r="I58" s="74">
        <f>(H58*26)*0.002/12</f>
        <v>6.6924866666666665</v>
      </c>
      <c r="J58" s="72"/>
    </row>
    <row r="59" spans="1:16" ht="13.5" customHeight="1" x14ac:dyDescent="0.25">
      <c r="A59" s="137" t="s">
        <v>24</v>
      </c>
      <c r="B59" s="358" t="s">
        <v>203</v>
      </c>
      <c r="C59" s="358"/>
      <c r="D59" s="358"/>
      <c r="E59" s="358"/>
      <c r="F59" s="358"/>
      <c r="G59" s="358"/>
      <c r="H59" s="73">
        <v>0</v>
      </c>
      <c r="I59" s="74">
        <f>(H59*6*0.02)/12</f>
        <v>0</v>
      </c>
      <c r="J59" s="72"/>
    </row>
    <row r="60" spans="1:16" ht="13.5" customHeight="1" x14ac:dyDescent="0.25">
      <c r="A60" s="137" t="s">
        <v>26</v>
      </c>
      <c r="B60" s="369" t="s">
        <v>202</v>
      </c>
      <c r="C60" s="369"/>
      <c r="D60" s="369"/>
      <c r="E60" s="369"/>
      <c r="F60" s="369"/>
      <c r="G60" s="369"/>
      <c r="H60" s="75">
        <v>0</v>
      </c>
      <c r="I60" s="76">
        <f>H60</f>
        <v>0</v>
      </c>
      <c r="J60" s="77"/>
    </row>
    <row r="61" spans="1:16" ht="13.5" customHeight="1" x14ac:dyDescent="0.25">
      <c r="A61" s="137" t="s">
        <v>28</v>
      </c>
      <c r="B61" s="358" t="s">
        <v>51</v>
      </c>
      <c r="C61" s="358"/>
      <c r="D61" s="358"/>
      <c r="E61" s="358"/>
      <c r="F61" s="358"/>
      <c r="G61" s="358"/>
      <c r="H61" s="73">
        <v>0</v>
      </c>
      <c r="I61" s="56">
        <f>H61</f>
        <v>0</v>
      </c>
      <c r="J61" s="57"/>
    </row>
    <row r="62" spans="1:16" s="78" customFormat="1" ht="13.5" customHeight="1" x14ac:dyDescent="0.25">
      <c r="A62" s="146" t="s">
        <v>45</v>
      </c>
      <c r="B62" s="369" t="s">
        <v>209</v>
      </c>
      <c r="C62" s="369"/>
      <c r="D62" s="369"/>
      <c r="E62" s="369"/>
      <c r="F62" s="369"/>
      <c r="G62" s="369"/>
      <c r="H62" s="75">
        <v>0</v>
      </c>
      <c r="I62" s="76">
        <f>H62</f>
        <v>0</v>
      </c>
      <c r="J62" s="77"/>
      <c r="K62" s="32"/>
      <c r="L62" s="32"/>
      <c r="M62" s="32"/>
      <c r="N62" s="32"/>
      <c r="O62" s="32"/>
      <c r="P62" s="32"/>
    </row>
    <row r="63" spans="1:16" ht="13.5" customHeight="1" x14ac:dyDescent="0.25">
      <c r="A63" s="336" t="s">
        <v>52</v>
      </c>
      <c r="B63" s="337"/>
      <c r="C63" s="337"/>
      <c r="D63" s="337"/>
      <c r="E63" s="337"/>
      <c r="F63" s="337"/>
      <c r="G63" s="337"/>
      <c r="H63" s="338"/>
      <c r="I63" s="69">
        <f>TRUNC(SUM(I55:I62),2)</f>
        <v>602.74</v>
      </c>
      <c r="J63" s="70"/>
    </row>
    <row r="64" spans="1:16" ht="12" customHeight="1" x14ac:dyDescent="0.25">
      <c r="A64" s="141"/>
      <c r="B64" s="141"/>
      <c r="C64" s="141"/>
      <c r="D64" s="141"/>
      <c r="E64" s="141"/>
      <c r="F64" s="141"/>
      <c r="G64" s="141"/>
      <c r="H64" s="141"/>
      <c r="I64" s="71"/>
      <c r="J64" s="71"/>
    </row>
    <row r="65" spans="1:16" ht="13.5" customHeight="1" x14ac:dyDescent="0.25">
      <c r="A65" s="335" t="s">
        <v>53</v>
      </c>
      <c r="B65" s="335"/>
      <c r="C65" s="335"/>
      <c r="D65" s="335"/>
      <c r="E65" s="335"/>
      <c r="F65" s="335"/>
      <c r="G65" s="335"/>
      <c r="H65" s="335"/>
      <c r="I65" s="335"/>
      <c r="J65" s="55"/>
    </row>
    <row r="66" spans="1:16" ht="13.5" customHeight="1" x14ac:dyDescent="0.25">
      <c r="A66" s="79" t="s">
        <v>31</v>
      </c>
      <c r="B66" s="368" t="s">
        <v>54</v>
      </c>
      <c r="C66" s="368"/>
      <c r="D66" s="368"/>
      <c r="E66" s="368"/>
      <c r="F66" s="368"/>
      <c r="G66" s="368"/>
      <c r="H66" s="368"/>
      <c r="I66" s="56">
        <f>I41</f>
        <v>300.30388888888888</v>
      </c>
      <c r="J66" s="57"/>
    </row>
    <row r="67" spans="1:16" ht="13.5" customHeight="1" x14ac:dyDescent="0.25">
      <c r="A67" s="79" t="s">
        <v>36</v>
      </c>
      <c r="B67" s="358" t="s">
        <v>55</v>
      </c>
      <c r="C67" s="358"/>
      <c r="D67" s="358"/>
      <c r="E67" s="358"/>
      <c r="F67" s="358"/>
      <c r="G67" s="358"/>
      <c r="H67" s="358"/>
      <c r="I67" s="56">
        <f>I52</f>
        <v>661.88693133333334</v>
      </c>
      <c r="J67" s="57"/>
    </row>
    <row r="68" spans="1:16" ht="13.5" customHeight="1" x14ac:dyDescent="0.25">
      <c r="A68" s="79" t="s">
        <v>48</v>
      </c>
      <c r="B68" s="358" t="s">
        <v>56</v>
      </c>
      <c r="C68" s="358"/>
      <c r="D68" s="358"/>
      <c r="E68" s="358"/>
      <c r="F68" s="358"/>
      <c r="G68" s="358"/>
      <c r="H68" s="358"/>
      <c r="I68" s="56">
        <f>I63</f>
        <v>602.74</v>
      </c>
      <c r="J68" s="57"/>
    </row>
    <row r="69" spans="1:16" ht="13.5" customHeight="1" x14ac:dyDescent="0.25">
      <c r="A69" s="335" t="s">
        <v>57</v>
      </c>
      <c r="B69" s="335"/>
      <c r="C69" s="335"/>
      <c r="D69" s="335"/>
      <c r="E69" s="335"/>
      <c r="F69" s="335"/>
      <c r="G69" s="335"/>
      <c r="H69" s="335"/>
      <c r="I69" s="60">
        <f>SUM(I66:I68)</f>
        <v>1564.9308202222223</v>
      </c>
      <c r="J69" s="61"/>
    </row>
    <row r="70" spans="1:16" x14ac:dyDescent="0.25">
      <c r="A70" s="141"/>
      <c r="B70" s="141"/>
      <c r="C70" s="141"/>
      <c r="D70" s="141"/>
      <c r="E70" s="141"/>
      <c r="F70" s="141"/>
      <c r="G70" s="141"/>
      <c r="H70" s="141"/>
      <c r="I70" s="71"/>
      <c r="J70" s="71"/>
    </row>
    <row r="71" spans="1:16" ht="13.5" customHeight="1" x14ac:dyDescent="0.25">
      <c r="A71" s="347" t="s">
        <v>125</v>
      </c>
      <c r="B71" s="347"/>
      <c r="C71" s="347"/>
      <c r="D71" s="347"/>
      <c r="E71" s="347"/>
      <c r="F71" s="347"/>
      <c r="G71" s="347"/>
      <c r="H71" s="347"/>
      <c r="I71" s="347"/>
      <c r="J71" s="54"/>
    </row>
    <row r="72" spans="1:16" ht="13.5" customHeight="1" x14ac:dyDescent="0.25">
      <c r="A72" s="203">
        <v>3</v>
      </c>
      <c r="B72" s="366" t="s">
        <v>58</v>
      </c>
      <c r="C72" s="366"/>
      <c r="D72" s="366"/>
      <c r="E72" s="366"/>
      <c r="F72" s="366"/>
      <c r="G72" s="366"/>
      <c r="H72" s="203" t="s">
        <v>18</v>
      </c>
      <c r="I72" s="203" t="s">
        <v>19</v>
      </c>
      <c r="J72" s="55"/>
    </row>
    <row r="73" spans="1:16" s="249" customFormat="1" ht="13.5" customHeight="1" x14ac:dyDescent="0.25">
      <c r="A73" s="219" t="s">
        <v>2</v>
      </c>
      <c r="B73" s="367" t="s">
        <v>59</v>
      </c>
      <c r="C73" s="367"/>
      <c r="D73" s="367"/>
      <c r="E73" s="367"/>
      <c r="F73" s="367"/>
      <c r="G73" s="367"/>
      <c r="H73" s="250">
        <f>0.05*(1/12)/30*3</f>
        <v>4.1666666666666664E-4</v>
      </c>
      <c r="I73" s="220">
        <f t="shared" ref="I73:I78" si="1">$I$35*H73</f>
        <v>0.64350833333333335</v>
      </c>
      <c r="J73" s="247"/>
      <c r="K73" s="248"/>
      <c r="L73" s="248"/>
      <c r="M73" s="248"/>
      <c r="N73" s="248"/>
      <c r="O73" s="248"/>
      <c r="P73" s="248"/>
    </row>
    <row r="74" spans="1:16" s="83" customFormat="1" ht="13.5" customHeight="1" x14ac:dyDescent="0.25">
      <c r="A74" s="201" t="s">
        <v>4</v>
      </c>
      <c r="B74" s="364" t="s">
        <v>60</v>
      </c>
      <c r="C74" s="364"/>
      <c r="D74" s="364"/>
      <c r="E74" s="364"/>
      <c r="F74" s="364"/>
      <c r="G74" s="364"/>
      <c r="H74" s="84">
        <f>H51*H73</f>
        <v>3.3333333333333335E-5</v>
      </c>
      <c r="I74" s="81">
        <f t="shared" si="1"/>
        <v>5.1480666666666675E-2</v>
      </c>
      <c r="J74" s="82"/>
      <c r="K74" s="21"/>
      <c r="L74" s="21"/>
      <c r="M74" s="21"/>
      <c r="N74" s="21"/>
      <c r="O74" s="21"/>
      <c r="P74" s="21"/>
    </row>
    <row r="75" spans="1:16" s="83" customFormat="1" ht="13.5" customHeight="1" x14ac:dyDescent="0.25">
      <c r="A75" s="201" t="s">
        <v>6</v>
      </c>
      <c r="B75" s="364" t="s">
        <v>61</v>
      </c>
      <c r="C75" s="364"/>
      <c r="D75" s="364"/>
      <c r="E75" s="364"/>
      <c r="F75" s="364"/>
      <c r="G75" s="364"/>
      <c r="H75" s="84">
        <f>40%*H51*5%</f>
        <v>1.6000000000000001E-3</v>
      </c>
      <c r="I75" s="81">
        <f t="shared" si="1"/>
        <v>2.4710720000000004</v>
      </c>
      <c r="J75" s="82"/>
      <c r="K75" s="21"/>
      <c r="L75" s="21"/>
      <c r="M75" s="21"/>
      <c r="N75" s="21"/>
      <c r="O75" s="21"/>
      <c r="P75" s="21"/>
    </row>
    <row r="76" spans="1:16" s="249" customFormat="1" ht="13.5" customHeight="1" x14ac:dyDescent="0.25">
      <c r="A76" s="219" t="s">
        <v>8</v>
      </c>
      <c r="B76" s="367" t="s">
        <v>62</v>
      </c>
      <c r="C76" s="367"/>
      <c r="D76" s="367"/>
      <c r="E76" s="367"/>
      <c r="F76" s="367"/>
      <c r="G76" s="367"/>
      <c r="H76" s="246">
        <f>(1/30)*7/12*100%/30*3</f>
        <v>1.9444444444444444E-3</v>
      </c>
      <c r="I76" s="220">
        <f t="shared" si="1"/>
        <v>3.0030388888888888</v>
      </c>
      <c r="J76" s="247"/>
      <c r="K76" s="248"/>
      <c r="L76" s="248"/>
      <c r="M76" s="248"/>
      <c r="N76" s="248"/>
      <c r="O76" s="248"/>
      <c r="P76" s="248"/>
    </row>
    <row r="77" spans="1:16" s="83" customFormat="1" ht="13.5" customHeight="1" x14ac:dyDescent="0.25">
      <c r="A77" s="201" t="s">
        <v>24</v>
      </c>
      <c r="B77" s="364" t="s">
        <v>63</v>
      </c>
      <c r="C77" s="364"/>
      <c r="D77" s="364"/>
      <c r="E77" s="364"/>
      <c r="F77" s="364"/>
      <c r="G77" s="364"/>
      <c r="H77" s="85">
        <f>H52*H76</f>
        <v>6.9766666666666675E-4</v>
      </c>
      <c r="I77" s="81">
        <f t="shared" si="1"/>
        <v>1.0774903533333335</v>
      </c>
      <c r="J77" s="82"/>
      <c r="K77" s="21"/>
      <c r="L77" s="21"/>
      <c r="M77" s="21"/>
      <c r="N77" s="21"/>
      <c r="O77" s="21"/>
      <c r="P77" s="21"/>
    </row>
    <row r="78" spans="1:16" s="83" customFormat="1" ht="13.5" customHeight="1" x14ac:dyDescent="0.25">
      <c r="A78" s="201" t="s">
        <v>26</v>
      </c>
      <c r="B78" s="364" t="s">
        <v>64</v>
      </c>
      <c r="C78" s="364"/>
      <c r="D78" s="364"/>
      <c r="E78" s="364"/>
      <c r="F78" s="364"/>
      <c r="G78" s="364"/>
      <c r="H78" s="80">
        <f>40%*H51*95%</f>
        <v>3.04E-2</v>
      </c>
      <c r="I78" s="81">
        <f t="shared" si="1"/>
        <v>46.950368000000005</v>
      </c>
      <c r="J78" s="82"/>
      <c r="K78" s="129"/>
      <c r="L78" s="21"/>
      <c r="M78" s="21"/>
      <c r="N78" s="21"/>
      <c r="O78" s="21"/>
      <c r="P78" s="21"/>
    </row>
    <row r="79" spans="1:16" ht="13.5" customHeight="1" x14ac:dyDescent="0.25">
      <c r="A79" s="336" t="s">
        <v>65</v>
      </c>
      <c r="B79" s="337"/>
      <c r="C79" s="337"/>
      <c r="D79" s="337"/>
      <c r="E79" s="337"/>
      <c r="F79" s="337"/>
      <c r="G79" s="338"/>
      <c r="H79" s="63">
        <f>SUM(H73:H78)</f>
        <v>3.5092111111111109E-2</v>
      </c>
      <c r="I79" s="60">
        <f>SUM(I73:I78)</f>
        <v>54.196958242222223</v>
      </c>
      <c r="J79" s="61"/>
    </row>
    <row r="80" spans="1:16" x14ac:dyDescent="0.25">
      <c r="A80" s="141"/>
      <c r="B80" s="365"/>
      <c r="C80" s="365"/>
      <c r="D80" s="365"/>
      <c r="E80" s="365"/>
      <c r="F80" s="365"/>
      <c r="G80" s="365"/>
      <c r="H80" s="365"/>
      <c r="I80" s="144"/>
      <c r="J80" s="144"/>
    </row>
    <row r="81" spans="1:16" ht="13.5" customHeight="1" x14ac:dyDescent="0.25">
      <c r="A81" s="347" t="s">
        <v>126</v>
      </c>
      <c r="B81" s="347"/>
      <c r="C81" s="347"/>
      <c r="D81" s="347"/>
      <c r="E81" s="347"/>
      <c r="F81" s="347"/>
      <c r="G81" s="347"/>
      <c r="H81" s="347"/>
      <c r="I81" s="347"/>
      <c r="J81" s="54"/>
    </row>
    <row r="82" spans="1:16" ht="13.5" customHeight="1" x14ac:dyDescent="0.25">
      <c r="A82" s="142" t="s">
        <v>66</v>
      </c>
      <c r="B82" s="359" t="s">
        <v>67</v>
      </c>
      <c r="C82" s="359"/>
      <c r="D82" s="359"/>
      <c r="E82" s="359"/>
      <c r="F82" s="359"/>
      <c r="G82" s="359"/>
      <c r="H82" s="142" t="s">
        <v>18</v>
      </c>
      <c r="I82" s="142" t="s">
        <v>19</v>
      </c>
      <c r="J82" s="55"/>
    </row>
    <row r="83" spans="1:16" ht="13.5" customHeight="1" x14ac:dyDescent="0.25">
      <c r="A83" s="137" t="s">
        <v>2</v>
      </c>
      <c r="B83" s="334" t="s">
        <v>68</v>
      </c>
      <c r="C83" s="334"/>
      <c r="D83" s="334"/>
      <c r="E83" s="334"/>
      <c r="F83" s="334"/>
      <c r="G83" s="334"/>
      <c r="H83" s="86">
        <f>(( 1+1/3)/12)/12</f>
        <v>9.2592592592592587E-3</v>
      </c>
      <c r="I83" s="56">
        <f>SUM($I$35,$I$69,$I$79)*H83</f>
        <v>29.292109059855967</v>
      </c>
      <c r="J83" s="57"/>
    </row>
    <row r="84" spans="1:16" s="223" customFormat="1" ht="13.5" customHeight="1" x14ac:dyDescent="0.25">
      <c r="A84" s="219" t="s">
        <v>4</v>
      </c>
      <c r="B84" s="355" t="s">
        <v>69</v>
      </c>
      <c r="C84" s="355"/>
      <c r="D84" s="355"/>
      <c r="E84" s="355"/>
      <c r="F84" s="355"/>
      <c r="G84" s="355"/>
      <c r="H84" s="250">
        <v>0</v>
      </c>
      <c r="I84" s="220">
        <f>SUM($I$35,$I$69,$I$79)*H84</f>
        <v>0</v>
      </c>
      <c r="J84" s="221"/>
      <c r="K84" s="222"/>
      <c r="L84" s="222"/>
      <c r="M84" s="222"/>
      <c r="N84" s="222"/>
      <c r="O84" s="222"/>
      <c r="P84" s="222"/>
    </row>
    <row r="85" spans="1:16" s="223" customFormat="1" ht="13.5" customHeight="1" x14ac:dyDescent="0.25">
      <c r="A85" s="219" t="s">
        <v>6</v>
      </c>
      <c r="B85" s="355" t="s">
        <v>70</v>
      </c>
      <c r="C85" s="355"/>
      <c r="D85" s="355"/>
      <c r="E85" s="355"/>
      <c r="F85" s="355"/>
      <c r="G85" s="355"/>
      <c r="H85" s="250">
        <v>0</v>
      </c>
      <c r="I85" s="220">
        <f>SUM($I$35,$I$69,$I$79)*H85</f>
        <v>0</v>
      </c>
      <c r="J85" s="221"/>
      <c r="K85" s="222"/>
      <c r="L85" s="222"/>
      <c r="M85" s="222"/>
      <c r="N85" s="222"/>
      <c r="O85" s="222"/>
      <c r="P85" s="222"/>
    </row>
    <row r="86" spans="1:16" s="223" customFormat="1" ht="13.5" customHeight="1" x14ac:dyDescent="0.25">
      <c r="A86" s="219" t="s">
        <v>8</v>
      </c>
      <c r="B86" s="355" t="s">
        <v>71</v>
      </c>
      <c r="C86" s="355"/>
      <c r="D86" s="355"/>
      <c r="E86" s="355"/>
      <c r="F86" s="355"/>
      <c r="G86" s="355"/>
      <c r="H86" s="250">
        <v>0</v>
      </c>
      <c r="I86" s="220">
        <f>SUM($I$35,$I$69,$I$79)*H86</f>
        <v>0</v>
      </c>
      <c r="J86" s="221"/>
      <c r="K86" s="222"/>
      <c r="L86" s="222"/>
      <c r="M86" s="222"/>
      <c r="N86" s="222"/>
      <c r="O86" s="222"/>
      <c r="P86" s="222"/>
    </row>
    <row r="87" spans="1:16" s="223" customFormat="1" ht="13.5" customHeight="1" x14ac:dyDescent="0.25">
      <c r="A87" s="219" t="s">
        <v>24</v>
      </c>
      <c r="B87" s="355" t="s">
        <v>72</v>
      </c>
      <c r="C87" s="355"/>
      <c r="D87" s="355"/>
      <c r="E87" s="355"/>
      <c r="F87" s="355"/>
      <c r="G87" s="355"/>
      <c r="H87" s="250">
        <v>0</v>
      </c>
      <c r="I87" s="220">
        <f>SUM($I$35,$I$69,$I$79)*H87</f>
        <v>0</v>
      </c>
      <c r="J87" s="221"/>
      <c r="K87" s="222"/>
      <c r="L87" s="222"/>
      <c r="M87" s="222"/>
      <c r="N87" s="222"/>
      <c r="O87" s="222"/>
      <c r="P87" s="222"/>
    </row>
    <row r="88" spans="1:16" s="223" customFormat="1" ht="13.5" customHeight="1" x14ac:dyDescent="0.25">
      <c r="A88" s="219" t="s">
        <v>26</v>
      </c>
      <c r="B88" s="355" t="s">
        <v>134</v>
      </c>
      <c r="C88" s="355"/>
      <c r="D88" s="355"/>
      <c r="E88" s="355"/>
      <c r="F88" s="355"/>
      <c r="G88" s="355"/>
      <c r="H88" s="246">
        <v>0</v>
      </c>
      <c r="I88" s="220">
        <f t="shared" ref="I88" si="2">SUM($I$35,$I$69,$I$79)*H88</f>
        <v>0</v>
      </c>
      <c r="J88" s="221"/>
      <c r="K88" s="222"/>
      <c r="L88" s="222"/>
      <c r="M88" s="222"/>
      <c r="N88" s="222"/>
      <c r="O88" s="222"/>
      <c r="P88" s="222"/>
    </row>
    <row r="89" spans="1:16" ht="13.5" customHeight="1" x14ac:dyDescent="0.25">
      <c r="A89" s="87"/>
      <c r="B89" s="359" t="s">
        <v>73</v>
      </c>
      <c r="C89" s="359"/>
      <c r="D89" s="359"/>
      <c r="E89" s="359"/>
      <c r="F89" s="359"/>
      <c r="G89" s="359"/>
      <c r="H89" s="88">
        <f>SUM(H83:H88)</f>
        <v>9.2592592592592587E-3</v>
      </c>
      <c r="I89" s="64">
        <f>SUM(I83:I88)</f>
        <v>29.292109059855967</v>
      </c>
      <c r="J89" s="65"/>
      <c r="K89" s="31"/>
      <c r="L89" s="33"/>
      <c r="M89" s="34"/>
    </row>
    <row r="90" spans="1:16" ht="5.25" customHeight="1" x14ac:dyDescent="0.25">
      <c r="A90" s="89"/>
      <c r="B90" s="329"/>
      <c r="C90" s="329"/>
      <c r="D90" s="329"/>
      <c r="E90" s="329"/>
      <c r="F90" s="329"/>
      <c r="G90" s="330"/>
      <c r="H90" s="330"/>
      <c r="I90" s="72"/>
      <c r="J90" s="72"/>
    </row>
    <row r="91" spans="1:16" ht="13.5" customHeight="1" x14ac:dyDescent="0.25">
      <c r="A91" s="142" t="s">
        <v>74</v>
      </c>
      <c r="B91" s="360" t="s">
        <v>75</v>
      </c>
      <c r="C91" s="361"/>
      <c r="D91" s="361"/>
      <c r="E91" s="361"/>
      <c r="F91" s="361"/>
      <c r="G91" s="361"/>
      <c r="H91" s="362"/>
      <c r="I91" s="142" t="s">
        <v>19</v>
      </c>
      <c r="J91" s="55"/>
    </row>
    <row r="92" spans="1:16" ht="13.5" customHeight="1" x14ac:dyDescent="0.25">
      <c r="A92" s="137" t="s">
        <v>2</v>
      </c>
      <c r="B92" s="339" t="s">
        <v>208</v>
      </c>
      <c r="C92" s="340"/>
      <c r="D92" s="340"/>
      <c r="E92" s="340"/>
      <c r="F92" s="340"/>
      <c r="G92" s="340"/>
      <c r="H92" s="363"/>
      <c r="I92" s="90">
        <v>0</v>
      </c>
      <c r="J92" s="91"/>
    </row>
    <row r="93" spans="1:16" ht="13.5" customHeight="1" x14ac:dyDescent="0.25">
      <c r="A93" s="87"/>
      <c r="B93" s="336" t="s">
        <v>76</v>
      </c>
      <c r="C93" s="337"/>
      <c r="D93" s="337"/>
      <c r="E93" s="337"/>
      <c r="F93" s="337"/>
      <c r="G93" s="337"/>
      <c r="H93" s="338"/>
      <c r="I93" s="64">
        <f>SUM(I92)</f>
        <v>0</v>
      </c>
      <c r="J93" s="65"/>
    </row>
    <row r="94" spans="1:16" x14ac:dyDescent="0.25">
      <c r="A94" s="89"/>
      <c r="B94" s="329"/>
      <c r="C94" s="329"/>
      <c r="D94" s="329"/>
      <c r="E94" s="329"/>
      <c r="F94" s="329"/>
      <c r="G94" s="330"/>
      <c r="H94" s="330"/>
      <c r="I94" s="72"/>
      <c r="J94" s="72"/>
    </row>
    <row r="95" spans="1:16" ht="13.5" customHeight="1" x14ac:dyDescent="0.25">
      <c r="A95" s="356" t="s">
        <v>77</v>
      </c>
      <c r="B95" s="356"/>
      <c r="C95" s="356"/>
      <c r="D95" s="356"/>
      <c r="E95" s="356"/>
      <c r="F95" s="356"/>
      <c r="G95" s="356"/>
      <c r="H95" s="356"/>
      <c r="I95" s="356"/>
      <c r="J95" s="49"/>
    </row>
    <row r="96" spans="1:16" ht="13.5" customHeight="1" x14ac:dyDescent="0.25">
      <c r="A96" s="79" t="s">
        <v>66</v>
      </c>
      <c r="B96" s="357" t="s">
        <v>69</v>
      </c>
      <c r="C96" s="357"/>
      <c r="D96" s="357"/>
      <c r="E96" s="357"/>
      <c r="F96" s="357"/>
      <c r="G96" s="357"/>
      <c r="H96" s="357"/>
      <c r="I96" s="56">
        <f>I89</f>
        <v>29.292109059855967</v>
      </c>
      <c r="J96" s="57"/>
    </row>
    <row r="97" spans="1:16" ht="13.5" customHeight="1" x14ac:dyDescent="0.25">
      <c r="A97" s="79" t="s">
        <v>74</v>
      </c>
      <c r="B97" s="358" t="s">
        <v>78</v>
      </c>
      <c r="C97" s="358"/>
      <c r="D97" s="358"/>
      <c r="E97" s="358"/>
      <c r="F97" s="358"/>
      <c r="G97" s="358"/>
      <c r="H97" s="358"/>
      <c r="I97" s="56">
        <f>I93</f>
        <v>0</v>
      </c>
      <c r="J97" s="57"/>
    </row>
    <row r="98" spans="1:16" ht="13.5" customHeight="1" x14ac:dyDescent="0.25">
      <c r="A98" s="335" t="s">
        <v>79</v>
      </c>
      <c r="B98" s="335"/>
      <c r="C98" s="335"/>
      <c r="D98" s="335"/>
      <c r="E98" s="335"/>
      <c r="F98" s="335"/>
      <c r="G98" s="335"/>
      <c r="H98" s="335"/>
      <c r="I98" s="60">
        <f>SUM(I96:I97)</f>
        <v>29.292109059855967</v>
      </c>
      <c r="J98" s="61"/>
    </row>
    <row r="99" spans="1:16" x14ac:dyDescent="0.25">
      <c r="A99" s="89"/>
      <c r="B99" s="329"/>
      <c r="C99" s="329"/>
      <c r="D99" s="329"/>
      <c r="E99" s="329"/>
      <c r="F99" s="329"/>
      <c r="G99" s="330"/>
      <c r="H99" s="330"/>
      <c r="I99" s="72"/>
      <c r="J99" s="72"/>
    </row>
    <row r="100" spans="1:16" ht="13.5" customHeight="1" x14ac:dyDescent="0.25">
      <c r="A100" s="347" t="s">
        <v>128</v>
      </c>
      <c r="B100" s="347"/>
      <c r="C100" s="347"/>
      <c r="D100" s="347"/>
      <c r="E100" s="347"/>
      <c r="F100" s="347"/>
      <c r="G100" s="347"/>
      <c r="H100" s="347"/>
      <c r="I100" s="347"/>
      <c r="J100" s="54"/>
    </row>
    <row r="101" spans="1:16" ht="13.5" customHeight="1" x14ac:dyDescent="0.25">
      <c r="A101" s="142">
        <v>5</v>
      </c>
      <c r="B101" s="335" t="s">
        <v>80</v>
      </c>
      <c r="C101" s="335"/>
      <c r="D101" s="335"/>
      <c r="E101" s="335"/>
      <c r="F101" s="335"/>
      <c r="G101" s="335"/>
      <c r="H101" s="335"/>
      <c r="I101" s="142" t="s">
        <v>19</v>
      </c>
      <c r="J101" s="55"/>
    </row>
    <row r="102" spans="1:16" s="223" customFormat="1" ht="13.5" customHeight="1" x14ac:dyDescent="0.25">
      <c r="A102" s="219" t="s">
        <v>2</v>
      </c>
      <c r="B102" s="355" t="s">
        <v>142</v>
      </c>
      <c r="C102" s="355"/>
      <c r="D102" s="355"/>
      <c r="E102" s="355"/>
      <c r="F102" s="355"/>
      <c r="G102" s="355"/>
      <c r="H102" s="355"/>
      <c r="I102" s="235">
        <f>UNIF!G20</f>
        <v>30.504843490153849</v>
      </c>
      <c r="J102" s="236"/>
      <c r="K102" s="222"/>
      <c r="L102" s="222"/>
      <c r="M102" s="222"/>
      <c r="N102" s="222"/>
      <c r="O102" s="222"/>
      <c r="P102" s="222"/>
    </row>
    <row r="103" spans="1:16" ht="13.5" customHeight="1" x14ac:dyDescent="0.25">
      <c r="A103" s="137" t="s">
        <v>4</v>
      </c>
      <c r="B103" s="349" t="s">
        <v>81</v>
      </c>
      <c r="C103" s="349"/>
      <c r="D103" s="349"/>
      <c r="E103" s="349"/>
      <c r="F103" s="349"/>
      <c r="G103" s="349"/>
      <c r="H103" s="349"/>
      <c r="I103" s="92">
        <v>0</v>
      </c>
      <c r="J103" s="93"/>
    </row>
    <row r="104" spans="1:16" ht="13.5" customHeight="1" x14ac:dyDescent="0.25">
      <c r="A104" s="137" t="s">
        <v>6</v>
      </c>
      <c r="B104" s="349" t="s">
        <v>206</v>
      </c>
      <c r="C104" s="349"/>
      <c r="D104" s="349"/>
      <c r="E104" s="349"/>
      <c r="F104" s="349"/>
      <c r="G104" s="349"/>
      <c r="H104" s="349"/>
      <c r="I104" s="92">
        <f>UNIF!G29</f>
        <v>10.846166574276925</v>
      </c>
      <c r="J104" s="93"/>
    </row>
    <row r="105" spans="1:16" s="78" customFormat="1" ht="13.5" customHeight="1" x14ac:dyDescent="0.25">
      <c r="A105" s="146" t="s">
        <v>8</v>
      </c>
      <c r="B105" s="350" t="s">
        <v>132</v>
      </c>
      <c r="C105" s="351"/>
      <c r="D105" s="351"/>
      <c r="E105" s="351"/>
      <c r="F105" s="351"/>
      <c r="G105" s="351"/>
      <c r="H105" s="352"/>
      <c r="I105" s="76">
        <v>0</v>
      </c>
      <c r="J105" s="77"/>
      <c r="K105" s="32"/>
      <c r="L105" s="32"/>
      <c r="M105" s="32"/>
      <c r="N105" s="32"/>
      <c r="O105" s="32"/>
      <c r="P105" s="32"/>
    </row>
    <row r="106" spans="1:16" ht="13.5" customHeight="1" x14ac:dyDescent="0.25">
      <c r="A106" s="335" t="s">
        <v>82</v>
      </c>
      <c r="B106" s="335"/>
      <c r="C106" s="335"/>
      <c r="D106" s="335"/>
      <c r="E106" s="335"/>
      <c r="F106" s="335"/>
      <c r="G106" s="335"/>
      <c r="H106" s="335"/>
      <c r="I106" s="60">
        <f>SUM(I102:I105)</f>
        <v>41.351010064430774</v>
      </c>
      <c r="J106" s="61"/>
    </row>
    <row r="107" spans="1:16" x14ac:dyDescent="0.25">
      <c r="A107" s="353"/>
      <c r="B107" s="353"/>
      <c r="C107" s="353"/>
      <c r="D107" s="353"/>
      <c r="E107" s="353"/>
      <c r="F107" s="353"/>
      <c r="G107" s="354"/>
      <c r="H107" s="354"/>
      <c r="I107" s="66"/>
      <c r="J107" s="66"/>
    </row>
    <row r="108" spans="1:16" ht="13.5" customHeight="1" x14ac:dyDescent="0.25">
      <c r="A108" s="347" t="s">
        <v>129</v>
      </c>
      <c r="B108" s="347"/>
      <c r="C108" s="347"/>
      <c r="D108" s="347"/>
      <c r="E108" s="347"/>
      <c r="F108" s="347"/>
      <c r="G108" s="347"/>
      <c r="H108" s="347"/>
      <c r="I108" s="347"/>
      <c r="J108" s="54"/>
    </row>
    <row r="109" spans="1:16" ht="13.5" customHeight="1" x14ac:dyDescent="0.25">
      <c r="A109" s="142">
        <v>6</v>
      </c>
      <c r="B109" s="335" t="s">
        <v>83</v>
      </c>
      <c r="C109" s="335"/>
      <c r="D109" s="335"/>
      <c r="E109" s="335"/>
      <c r="F109" s="335"/>
      <c r="G109" s="335"/>
      <c r="H109" s="142" t="s">
        <v>18</v>
      </c>
      <c r="I109" s="142" t="s">
        <v>19</v>
      </c>
      <c r="J109" s="55"/>
    </row>
    <row r="110" spans="1:16" s="83" customFormat="1" ht="13.5" customHeight="1" x14ac:dyDescent="0.25">
      <c r="A110" s="145" t="s">
        <v>2</v>
      </c>
      <c r="B110" s="348" t="s">
        <v>84</v>
      </c>
      <c r="C110" s="348"/>
      <c r="D110" s="348"/>
      <c r="E110" s="348"/>
      <c r="F110" s="348"/>
      <c r="G110" s="348"/>
      <c r="H110" s="94">
        <v>1.4999999999999999E-2</v>
      </c>
      <c r="I110" s="95">
        <f>SUM($I$129)*H110</f>
        <v>48.512863463830968</v>
      </c>
      <c r="J110" s="96"/>
      <c r="K110" s="178" t="s">
        <v>312</v>
      </c>
      <c r="L110" s="180">
        <v>2790.2</v>
      </c>
      <c r="M110" s="180"/>
      <c r="N110" s="21"/>
      <c r="O110" s="21"/>
      <c r="P110" s="21"/>
    </row>
    <row r="111" spans="1:16" s="83" customFormat="1" ht="13.5" customHeight="1" x14ac:dyDescent="0.25">
      <c r="A111" s="145" t="s">
        <v>4</v>
      </c>
      <c r="B111" s="348" t="s">
        <v>85</v>
      </c>
      <c r="C111" s="348"/>
      <c r="D111" s="348"/>
      <c r="E111" s="348"/>
      <c r="F111" s="348"/>
      <c r="G111" s="348"/>
      <c r="H111" s="94">
        <v>1.316E-2</v>
      </c>
      <c r="I111" s="95">
        <f>SUM($I$129,I110)*H111</f>
        <v>43.200381495451715</v>
      </c>
      <c r="J111" s="96"/>
      <c r="K111" s="178" t="s">
        <v>313</v>
      </c>
      <c r="L111" s="180">
        <f>PROPOSTA!I40</f>
        <v>3557.34</v>
      </c>
      <c r="M111" s="180"/>
      <c r="N111" s="21"/>
      <c r="O111" s="21"/>
      <c r="P111" s="21"/>
    </row>
    <row r="112" spans="1:16" ht="13.5" customHeight="1" x14ac:dyDescent="0.25">
      <c r="A112" s="137"/>
      <c r="B112" s="342"/>
      <c r="C112" s="342"/>
      <c r="D112" s="342"/>
      <c r="E112" s="343" t="s">
        <v>86</v>
      </c>
      <c r="F112" s="343"/>
      <c r="G112" s="343"/>
      <c r="H112" s="343"/>
      <c r="I112" s="97"/>
      <c r="J112" s="98"/>
      <c r="L112" s="181">
        <f>L110-L111</f>
        <v>-767.14000000000033</v>
      </c>
      <c r="M112" s="181"/>
    </row>
    <row r="113" spans="1:10" ht="13.5" customHeight="1" x14ac:dyDescent="0.25">
      <c r="A113" s="137" t="s">
        <v>6</v>
      </c>
      <c r="B113" s="344" t="s">
        <v>87</v>
      </c>
      <c r="C113" s="344"/>
      <c r="D113" s="344"/>
      <c r="E113" s="345">
        <f>SUM(H115,H116,H119)</f>
        <v>6.5060000000000007E-2</v>
      </c>
      <c r="F113" s="346"/>
      <c r="G113" s="345">
        <f>1-((H115+H116+H119))</f>
        <v>0.93493999999999999</v>
      </c>
      <c r="H113" s="346"/>
      <c r="I113" s="99"/>
      <c r="J113" s="100"/>
    </row>
    <row r="114" spans="1:10" ht="13.5" customHeight="1" x14ac:dyDescent="0.25">
      <c r="A114" s="137" t="s">
        <v>88</v>
      </c>
      <c r="B114" s="339" t="s">
        <v>89</v>
      </c>
      <c r="C114" s="340"/>
      <c r="D114" s="340"/>
      <c r="E114" s="340"/>
      <c r="F114" s="340"/>
      <c r="G114" s="340"/>
      <c r="H114" s="340"/>
      <c r="I114" s="101"/>
      <c r="J114" s="102"/>
    </row>
    <row r="115" spans="1:10" ht="13.5" customHeight="1" x14ac:dyDescent="0.25">
      <c r="A115" s="103" t="s">
        <v>90</v>
      </c>
      <c r="B115" s="341" t="s">
        <v>91</v>
      </c>
      <c r="C115" s="341"/>
      <c r="D115" s="341"/>
      <c r="E115" s="341"/>
      <c r="F115" s="341"/>
      <c r="G115" s="341"/>
      <c r="H115" s="104">
        <v>2.6800000000000001E-3</v>
      </c>
      <c r="I115" s="97">
        <f>SUM($I$129,$I$110,$I$111)*H115/(1-$E$113)</f>
        <v>9.533684623642884</v>
      </c>
      <c r="J115" s="98"/>
    </row>
    <row r="116" spans="1:10" ht="13.5" customHeight="1" x14ac:dyDescent="0.25">
      <c r="A116" s="103" t="s">
        <v>92</v>
      </c>
      <c r="B116" s="341" t="s">
        <v>93</v>
      </c>
      <c r="C116" s="341"/>
      <c r="D116" s="341"/>
      <c r="E116" s="341"/>
      <c r="F116" s="341"/>
      <c r="G116" s="341"/>
      <c r="H116" s="104">
        <v>1.238E-2</v>
      </c>
      <c r="I116" s="97">
        <f>SUM($I$129,$I$110,$I$111)*H116/(1-$E$113)</f>
        <v>44.039931209216007</v>
      </c>
      <c r="J116" s="98"/>
    </row>
    <row r="117" spans="1:10" ht="13.5" customHeight="1" x14ac:dyDescent="0.25">
      <c r="A117" s="137" t="s">
        <v>94</v>
      </c>
      <c r="B117" s="339" t="s">
        <v>95</v>
      </c>
      <c r="C117" s="340"/>
      <c r="D117" s="340"/>
      <c r="E117" s="340"/>
      <c r="F117" s="340"/>
      <c r="G117" s="340"/>
      <c r="H117" s="340"/>
      <c r="I117" s="101"/>
      <c r="J117" s="102"/>
    </row>
    <row r="118" spans="1:10" ht="13.5" customHeight="1" x14ac:dyDescent="0.25">
      <c r="A118" s="137" t="s">
        <v>96</v>
      </c>
      <c r="B118" s="339" t="s">
        <v>97</v>
      </c>
      <c r="C118" s="340"/>
      <c r="D118" s="340"/>
      <c r="E118" s="340"/>
      <c r="F118" s="340"/>
      <c r="G118" s="340"/>
      <c r="H118" s="340"/>
      <c r="I118" s="101"/>
      <c r="J118" s="102"/>
    </row>
    <row r="119" spans="1:10" ht="13.5" customHeight="1" x14ac:dyDescent="0.25">
      <c r="A119" s="103" t="s">
        <v>98</v>
      </c>
      <c r="B119" s="341" t="s">
        <v>99</v>
      </c>
      <c r="C119" s="341"/>
      <c r="D119" s="341"/>
      <c r="E119" s="341"/>
      <c r="F119" s="341"/>
      <c r="G119" s="341"/>
      <c r="H119" s="105">
        <v>0.05</v>
      </c>
      <c r="I119" s="97">
        <f>SUM($I$129,$I$110,$I$111)*H119/(1-$E$113)</f>
        <v>177.86725044109858</v>
      </c>
      <c r="J119" s="98"/>
    </row>
    <row r="120" spans="1:10" ht="13.5" customHeight="1" x14ac:dyDescent="0.25">
      <c r="A120" s="335" t="s">
        <v>100</v>
      </c>
      <c r="B120" s="335"/>
      <c r="C120" s="335"/>
      <c r="D120" s="335"/>
      <c r="E120" s="335"/>
      <c r="F120" s="335"/>
      <c r="G120" s="335"/>
      <c r="H120" s="335"/>
      <c r="I120" s="60">
        <f>SUM(I110:I119)</f>
        <v>323.15411123324014</v>
      </c>
      <c r="J120" s="61"/>
    </row>
    <row r="121" spans="1:10" x14ac:dyDescent="0.25">
      <c r="A121" s="89"/>
      <c r="B121" s="329"/>
      <c r="C121" s="329"/>
      <c r="D121" s="329"/>
      <c r="E121" s="329"/>
      <c r="F121" s="329"/>
      <c r="G121" s="330"/>
      <c r="H121" s="330"/>
      <c r="I121" s="72"/>
      <c r="J121" s="72"/>
    </row>
    <row r="122" spans="1:10" ht="13.5" customHeight="1" x14ac:dyDescent="0.25">
      <c r="A122" s="325" t="s">
        <v>101</v>
      </c>
      <c r="B122" s="325"/>
      <c r="C122" s="325"/>
      <c r="D122" s="325"/>
      <c r="E122" s="325"/>
      <c r="F122" s="325"/>
      <c r="G122" s="325"/>
      <c r="H122" s="325"/>
      <c r="I122" s="325"/>
      <c r="J122" s="106"/>
    </row>
    <row r="123" spans="1:10" ht="13.5" customHeight="1" x14ac:dyDescent="0.25">
      <c r="A123" s="142"/>
      <c r="B123" s="336" t="s">
        <v>102</v>
      </c>
      <c r="C123" s="337"/>
      <c r="D123" s="337"/>
      <c r="E123" s="337"/>
      <c r="F123" s="337"/>
      <c r="G123" s="337"/>
      <c r="H123" s="338"/>
      <c r="I123" s="142" t="s">
        <v>19</v>
      </c>
      <c r="J123" s="55"/>
    </row>
    <row r="124" spans="1:10" ht="13.5" customHeight="1" x14ac:dyDescent="0.25">
      <c r="A124" s="137" t="s">
        <v>2</v>
      </c>
      <c r="B124" s="333" t="s">
        <v>103</v>
      </c>
      <c r="C124" s="333"/>
      <c r="D124" s="333"/>
      <c r="E124" s="333"/>
      <c r="F124" s="333"/>
      <c r="G124" s="333"/>
      <c r="H124" s="333"/>
      <c r="I124" s="56">
        <f>I35</f>
        <v>1544.42</v>
      </c>
      <c r="J124" s="57"/>
    </row>
    <row r="125" spans="1:10" ht="13.5" customHeight="1" x14ac:dyDescent="0.25">
      <c r="A125" s="137" t="s">
        <v>4</v>
      </c>
      <c r="B125" s="333" t="s">
        <v>104</v>
      </c>
      <c r="C125" s="333"/>
      <c r="D125" s="333"/>
      <c r="E125" s="333"/>
      <c r="F125" s="333"/>
      <c r="G125" s="333"/>
      <c r="H125" s="333"/>
      <c r="I125" s="56">
        <f>I69</f>
        <v>1564.9308202222223</v>
      </c>
      <c r="J125" s="57"/>
    </row>
    <row r="126" spans="1:10" ht="13.5" customHeight="1" x14ac:dyDescent="0.25">
      <c r="A126" s="137" t="s">
        <v>6</v>
      </c>
      <c r="B126" s="333" t="s">
        <v>105</v>
      </c>
      <c r="C126" s="333"/>
      <c r="D126" s="333"/>
      <c r="E126" s="333"/>
      <c r="F126" s="333"/>
      <c r="G126" s="333"/>
      <c r="H126" s="333"/>
      <c r="I126" s="56">
        <f>I79</f>
        <v>54.196958242222223</v>
      </c>
      <c r="J126" s="57"/>
    </row>
    <row r="127" spans="1:10" ht="13.5" customHeight="1" x14ac:dyDescent="0.25">
      <c r="A127" s="137" t="s">
        <v>8</v>
      </c>
      <c r="B127" s="333" t="s">
        <v>106</v>
      </c>
      <c r="C127" s="333"/>
      <c r="D127" s="333"/>
      <c r="E127" s="333"/>
      <c r="F127" s="333"/>
      <c r="G127" s="333"/>
      <c r="H127" s="333"/>
      <c r="I127" s="56">
        <f>I98</f>
        <v>29.292109059855967</v>
      </c>
      <c r="J127" s="57"/>
    </row>
    <row r="128" spans="1:10" ht="13.5" customHeight="1" x14ac:dyDescent="0.25">
      <c r="A128" s="137" t="s">
        <v>24</v>
      </c>
      <c r="B128" s="333" t="s">
        <v>107</v>
      </c>
      <c r="C128" s="333"/>
      <c r="D128" s="333"/>
      <c r="E128" s="333"/>
      <c r="F128" s="333"/>
      <c r="G128" s="333"/>
      <c r="H128" s="333"/>
      <c r="I128" s="56">
        <f>I106</f>
        <v>41.351010064430774</v>
      </c>
      <c r="J128" s="57"/>
    </row>
    <row r="129" spans="1:12" ht="13.5" customHeight="1" x14ac:dyDescent="0.25">
      <c r="A129" s="328" t="s">
        <v>108</v>
      </c>
      <c r="B129" s="328"/>
      <c r="C129" s="328"/>
      <c r="D129" s="328"/>
      <c r="E129" s="328"/>
      <c r="F129" s="328"/>
      <c r="G129" s="328"/>
      <c r="H129" s="328"/>
      <c r="I129" s="107">
        <f>SUM(I124:I128)</f>
        <v>3234.1908975887313</v>
      </c>
      <c r="J129" s="108"/>
    </row>
    <row r="130" spans="1:12" ht="13.5" customHeight="1" x14ac:dyDescent="0.25">
      <c r="A130" s="137" t="s">
        <v>26</v>
      </c>
      <c r="B130" s="334" t="s">
        <v>109</v>
      </c>
      <c r="C130" s="334"/>
      <c r="D130" s="334"/>
      <c r="E130" s="334"/>
      <c r="F130" s="334"/>
      <c r="G130" s="334"/>
      <c r="H130" s="334"/>
      <c r="I130" s="56">
        <f>I120</f>
        <v>323.15411123324014</v>
      </c>
      <c r="J130" s="57"/>
    </row>
    <row r="131" spans="1:12" ht="13.5" customHeight="1" x14ac:dyDescent="0.25">
      <c r="A131" s="328" t="s">
        <v>110</v>
      </c>
      <c r="B131" s="328"/>
      <c r="C131" s="328"/>
      <c r="D131" s="328"/>
      <c r="E131" s="328"/>
      <c r="F131" s="328"/>
      <c r="G131" s="328"/>
      <c r="H131" s="328"/>
      <c r="I131" s="109">
        <f>TRUNC(SUM(I129:I130),2)</f>
        <v>3557.34</v>
      </c>
      <c r="J131" s="110"/>
      <c r="K131" s="35">
        <f>SUM(I35,I69,I79,I98,I106,I110,I111)/G113</f>
        <v>3557.3450088219715</v>
      </c>
    </row>
    <row r="132" spans="1:12" ht="13.5" customHeight="1" x14ac:dyDescent="0.25">
      <c r="A132" s="89"/>
      <c r="B132" s="329"/>
      <c r="C132" s="329"/>
      <c r="D132" s="329"/>
      <c r="E132" s="329"/>
      <c r="F132" s="329"/>
      <c r="G132" s="330"/>
      <c r="H132" s="330"/>
      <c r="I132" s="72"/>
      <c r="J132" s="72"/>
    </row>
    <row r="133" spans="1:12" ht="13.5" customHeight="1" x14ac:dyDescent="0.25">
      <c r="A133" s="325" t="s">
        <v>111</v>
      </c>
      <c r="B133" s="325"/>
      <c r="C133" s="325"/>
      <c r="D133" s="325"/>
      <c r="E133" s="325"/>
      <c r="F133" s="325"/>
      <c r="G133" s="325"/>
      <c r="H133" s="325"/>
      <c r="I133" s="325"/>
      <c r="J133" s="106"/>
    </row>
    <row r="134" spans="1:12" ht="36" x14ac:dyDescent="0.25">
      <c r="A134" s="331" t="s">
        <v>112</v>
      </c>
      <c r="B134" s="331"/>
      <c r="C134" s="331"/>
      <c r="D134" s="111" t="s">
        <v>113</v>
      </c>
      <c r="E134" s="138" t="s">
        <v>120</v>
      </c>
      <c r="F134" s="332" t="s">
        <v>121</v>
      </c>
      <c r="G134" s="332"/>
      <c r="H134" s="112" t="s">
        <v>114</v>
      </c>
      <c r="I134" s="113" t="s">
        <v>122</v>
      </c>
      <c r="J134" s="114"/>
    </row>
    <row r="135" spans="1:12" ht="21" customHeight="1" x14ac:dyDescent="0.25">
      <c r="A135" s="136" t="s">
        <v>115</v>
      </c>
      <c r="B135" s="323" t="str">
        <f>H23</f>
        <v>BOMBEIRO</v>
      </c>
      <c r="C135" s="323"/>
      <c r="D135" s="115">
        <f>I131</f>
        <v>3557.34</v>
      </c>
      <c r="E135" s="136">
        <v>1</v>
      </c>
      <c r="F135" s="324">
        <f>(D135*E135)</f>
        <v>3557.34</v>
      </c>
      <c r="G135" s="324"/>
      <c r="H135" s="136">
        <f>H18</f>
        <v>1</v>
      </c>
      <c r="I135" s="143">
        <f>F135*H135</f>
        <v>3557.34</v>
      </c>
      <c r="J135" s="116"/>
    </row>
    <row r="136" spans="1:12" ht="13.5" customHeight="1" x14ac:dyDescent="0.25">
      <c r="A136" s="325" t="s">
        <v>116</v>
      </c>
      <c r="B136" s="325"/>
      <c r="C136" s="325"/>
      <c r="D136" s="325"/>
      <c r="E136" s="325"/>
      <c r="F136" s="325"/>
      <c r="G136" s="325"/>
      <c r="H136" s="325"/>
      <c r="I136" s="325"/>
      <c r="J136" s="106"/>
    </row>
    <row r="137" spans="1:12" ht="13.5" customHeight="1" x14ac:dyDescent="0.25">
      <c r="A137" s="136"/>
      <c r="B137" s="326" t="s">
        <v>117</v>
      </c>
      <c r="C137" s="326"/>
      <c r="D137" s="326"/>
      <c r="E137" s="326"/>
      <c r="F137" s="326"/>
      <c r="G137" s="326"/>
      <c r="H137" s="326"/>
      <c r="I137" s="117" t="s">
        <v>19</v>
      </c>
      <c r="J137" s="118"/>
    </row>
    <row r="138" spans="1:12" ht="13.5" customHeight="1" x14ac:dyDescent="0.25">
      <c r="A138" s="125" t="s">
        <v>2</v>
      </c>
      <c r="B138" s="327" t="s">
        <v>118</v>
      </c>
      <c r="C138" s="327"/>
      <c r="D138" s="327"/>
      <c r="E138" s="327"/>
      <c r="F138" s="327"/>
      <c r="G138" s="327"/>
      <c r="H138" s="327"/>
      <c r="I138" s="92">
        <f>F135</f>
        <v>3557.34</v>
      </c>
      <c r="J138" s="93"/>
      <c r="L138" s="35"/>
    </row>
    <row r="139" spans="1:12" ht="13.5" customHeight="1" x14ac:dyDescent="0.25">
      <c r="A139" s="136" t="s">
        <v>4</v>
      </c>
      <c r="B139" s="327" t="s">
        <v>119</v>
      </c>
      <c r="C139" s="327"/>
      <c r="D139" s="327"/>
      <c r="E139" s="327"/>
      <c r="F139" s="327"/>
      <c r="G139" s="327"/>
      <c r="H139" s="327"/>
      <c r="I139" s="92">
        <f>SUM(I138:I138)*H18</f>
        <v>3557.34</v>
      </c>
      <c r="J139" s="93"/>
      <c r="K139" s="122"/>
      <c r="L139" s="119"/>
    </row>
    <row r="140" spans="1:12" ht="13.5" customHeight="1" x14ac:dyDescent="0.25">
      <c r="A140" s="136" t="s">
        <v>6</v>
      </c>
      <c r="B140" s="323" t="s">
        <v>123</v>
      </c>
      <c r="C140" s="323"/>
      <c r="D140" s="323"/>
      <c r="E140" s="323"/>
      <c r="F140" s="323"/>
      <c r="G140" s="323"/>
      <c r="H140" s="323"/>
      <c r="I140" s="120">
        <f>(I139*12)</f>
        <v>42688.08</v>
      </c>
      <c r="J140" s="121"/>
    </row>
    <row r="141" spans="1:12" x14ac:dyDescent="0.25">
      <c r="I141" s="124"/>
    </row>
  </sheetData>
  <sheetProtection formatCells="0" formatColumns="0" formatRows="0" insertColumns="0" insertRows="0" insertHyperlinks="0" deleteColumns="0" deleteRows="0" sort="0" autoFilter="0" pivotTables="0"/>
  <mergeCells count="169">
    <mergeCell ref="A7:I7"/>
    <mergeCell ref="A8:I8"/>
    <mergeCell ref="A9:I9"/>
    <mergeCell ref="A10:I10"/>
    <mergeCell ref="A11:I11"/>
    <mergeCell ref="B12:D12"/>
    <mergeCell ref="E12:I12"/>
    <mergeCell ref="A1:I1"/>
    <mergeCell ref="A2:I2"/>
    <mergeCell ref="A3:I3"/>
    <mergeCell ref="A4:I4"/>
    <mergeCell ref="A5:I5"/>
    <mergeCell ref="A6:I6"/>
    <mergeCell ref="A16:I16"/>
    <mergeCell ref="A17:E17"/>
    <mergeCell ref="F17:G17"/>
    <mergeCell ref="H17:I17"/>
    <mergeCell ref="A18:E18"/>
    <mergeCell ref="F18:G18"/>
    <mergeCell ref="H18:I18"/>
    <mergeCell ref="B13:D13"/>
    <mergeCell ref="E13:I13"/>
    <mergeCell ref="B14:D14"/>
    <mergeCell ref="E14:I14"/>
    <mergeCell ref="B15:D15"/>
    <mergeCell ref="E15:I15"/>
    <mergeCell ref="B23:G23"/>
    <mergeCell ref="H23:I23"/>
    <mergeCell ref="B24:G24"/>
    <mergeCell ref="H24:I24"/>
    <mergeCell ref="A25:I25"/>
    <mergeCell ref="A26:I26"/>
    <mergeCell ref="A19:I19"/>
    <mergeCell ref="B20:G20"/>
    <mergeCell ref="H20:I20"/>
    <mergeCell ref="B21:G21"/>
    <mergeCell ref="H21:I21"/>
    <mergeCell ref="B22:G22"/>
    <mergeCell ref="H22:I22"/>
    <mergeCell ref="B30:F30"/>
    <mergeCell ref="G30:H30"/>
    <mergeCell ref="B31:F31"/>
    <mergeCell ref="G31:H31"/>
    <mergeCell ref="B32:F32"/>
    <mergeCell ref="G32:H32"/>
    <mergeCell ref="B27:F27"/>
    <mergeCell ref="G27:H27"/>
    <mergeCell ref="B28:F28"/>
    <mergeCell ref="G28:H28"/>
    <mergeCell ref="B29:F29"/>
    <mergeCell ref="G29:H29"/>
    <mergeCell ref="A37:I37"/>
    <mergeCell ref="B38:G38"/>
    <mergeCell ref="B39:G39"/>
    <mergeCell ref="B40:G40"/>
    <mergeCell ref="B41:G41"/>
    <mergeCell ref="B43:G43"/>
    <mergeCell ref="B33:F33"/>
    <mergeCell ref="G33:H33"/>
    <mergeCell ref="B34:F34"/>
    <mergeCell ref="G34:H34"/>
    <mergeCell ref="A35:H35"/>
    <mergeCell ref="A36:I36"/>
    <mergeCell ref="B50:G50"/>
    <mergeCell ref="B51:G51"/>
    <mergeCell ref="A52:G52"/>
    <mergeCell ref="B54:G54"/>
    <mergeCell ref="B55:G55"/>
    <mergeCell ref="B56:G56"/>
    <mergeCell ref="B44:G44"/>
    <mergeCell ref="B45:G45"/>
    <mergeCell ref="B46:G46"/>
    <mergeCell ref="B47:G47"/>
    <mergeCell ref="B48:G48"/>
    <mergeCell ref="B49:G49"/>
    <mergeCell ref="A63:H63"/>
    <mergeCell ref="A65:I65"/>
    <mergeCell ref="B66:H66"/>
    <mergeCell ref="B67:H67"/>
    <mergeCell ref="B68:H68"/>
    <mergeCell ref="A69:H69"/>
    <mergeCell ref="B57:G57"/>
    <mergeCell ref="B58:G58"/>
    <mergeCell ref="B59:G59"/>
    <mergeCell ref="B60:G60"/>
    <mergeCell ref="B61:G61"/>
    <mergeCell ref="B62:G62"/>
    <mergeCell ref="B77:G77"/>
    <mergeCell ref="B78:G78"/>
    <mergeCell ref="A79:G79"/>
    <mergeCell ref="B80:F80"/>
    <mergeCell ref="G80:H80"/>
    <mergeCell ref="A81:I81"/>
    <mergeCell ref="A71:I71"/>
    <mergeCell ref="B72:G72"/>
    <mergeCell ref="B73:G73"/>
    <mergeCell ref="B74:G74"/>
    <mergeCell ref="B75:G75"/>
    <mergeCell ref="B76:G76"/>
    <mergeCell ref="B88:G88"/>
    <mergeCell ref="B89:G89"/>
    <mergeCell ref="B90:F90"/>
    <mergeCell ref="G90:H90"/>
    <mergeCell ref="B91:H91"/>
    <mergeCell ref="B92:H92"/>
    <mergeCell ref="B82:G82"/>
    <mergeCell ref="B83:G83"/>
    <mergeCell ref="B84:G84"/>
    <mergeCell ref="B85:G85"/>
    <mergeCell ref="B86:G86"/>
    <mergeCell ref="B87:G87"/>
    <mergeCell ref="A98:H98"/>
    <mergeCell ref="B99:F99"/>
    <mergeCell ref="G99:H99"/>
    <mergeCell ref="A100:I100"/>
    <mergeCell ref="B101:H101"/>
    <mergeCell ref="B102:H102"/>
    <mergeCell ref="B93:H93"/>
    <mergeCell ref="B94:F94"/>
    <mergeCell ref="G94:H94"/>
    <mergeCell ref="A95:I95"/>
    <mergeCell ref="B96:H96"/>
    <mergeCell ref="B97:H97"/>
    <mergeCell ref="A108:I108"/>
    <mergeCell ref="B109:G109"/>
    <mergeCell ref="B110:G110"/>
    <mergeCell ref="B111:G111"/>
    <mergeCell ref="B103:H103"/>
    <mergeCell ref="B104:H104"/>
    <mergeCell ref="B105:H105"/>
    <mergeCell ref="A106:H106"/>
    <mergeCell ref="A107:F107"/>
    <mergeCell ref="G107:H107"/>
    <mergeCell ref="B114:H114"/>
    <mergeCell ref="B115:G115"/>
    <mergeCell ref="B116:G116"/>
    <mergeCell ref="B117:H117"/>
    <mergeCell ref="B118:H118"/>
    <mergeCell ref="B119:G119"/>
    <mergeCell ref="B112:D112"/>
    <mergeCell ref="E112:H112"/>
    <mergeCell ref="B113:D113"/>
    <mergeCell ref="E113:F113"/>
    <mergeCell ref="G113:H113"/>
    <mergeCell ref="B125:H125"/>
    <mergeCell ref="B126:H126"/>
    <mergeCell ref="B127:H127"/>
    <mergeCell ref="B128:H128"/>
    <mergeCell ref="A129:H129"/>
    <mergeCell ref="B130:H130"/>
    <mergeCell ref="A120:H120"/>
    <mergeCell ref="B121:F121"/>
    <mergeCell ref="G121:H121"/>
    <mergeCell ref="A122:I122"/>
    <mergeCell ref="B123:H123"/>
    <mergeCell ref="B124:H124"/>
    <mergeCell ref="B140:H140"/>
    <mergeCell ref="B135:C135"/>
    <mergeCell ref="F135:G135"/>
    <mergeCell ref="A136:I136"/>
    <mergeCell ref="B137:H137"/>
    <mergeCell ref="B138:H138"/>
    <mergeCell ref="B139:H139"/>
    <mergeCell ref="A131:H131"/>
    <mergeCell ref="B132:F132"/>
    <mergeCell ref="G132:H132"/>
    <mergeCell ref="A133:I133"/>
    <mergeCell ref="A134:C134"/>
    <mergeCell ref="F134:G134"/>
  </mergeCells>
  <pageMargins left="0.6692913385826772" right="0.19685039370078741" top="0.78740157480314965" bottom="0.6692913385826772" header="0.11811023622047245" footer="0.11811023622047245"/>
  <pageSetup paperSize="9" scale="75" firstPageNumber="0" fitToHeight="0" orientation="portrait" r:id="rId1"/>
  <headerFooter alignWithMargins="0">
    <oddHeader>&amp;R&amp;G</oddHeader>
    <oddFooter>&amp;L&amp;G</oddFooter>
  </headerFooter>
  <rowBreaks count="1" manualBreakCount="1">
    <brk id="70" max="8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141"/>
  <sheetViews>
    <sheetView view="pageBreakPreview" topLeftCell="G129" zoomScaleNormal="100" zoomScaleSheetLayoutView="100" workbookViewId="0">
      <selection activeCell="G95" sqref="G95"/>
    </sheetView>
  </sheetViews>
  <sheetFormatPr defaultRowHeight="15" x14ac:dyDescent="0.25"/>
  <cols>
    <col min="1" max="1" width="5.5703125" style="1" customWidth="1"/>
    <col min="2" max="3" width="19.42578125" style="1" customWidth="1"/>
    <col min="4" max="4" width="16.42578125" style="1" customWidth="1"/>
    <col min="5" max="5" width="12.42578125" style="1" customWidth="1"/>
    <col min="6" max="6" width="9.140625" style="1" customWidth="1"/>
    <col min="7" max="7" width="7.5703125" style="1" customWidth="1"/>
    <col min="8" max="8" width="12" style="1" customWidth="1"/>
    <col min="9" max="9" width="20.7109375" style="1" customWidth="1"/>
    <col min="10" max="10" width="2.5703125" style="1" customWidth="1"/>
    <col min="11" max="11" width="13" style="3" customWidth="1"/>
    <col min="12" max="12" width="12.5703125" style="3" customWidth="1"/>
    <col min="13" max="13" width="10.28515625" style="3" customWidth="1"/>
    <col min="14" max="16" width="8.7109375" style="3" customWidth="1"/>
    <col min="17" max="1025" width="8.7109375" style="1" customWidth="1"/>
    <col min="1026" max="16384" width="9.140625" style="1"/>
  </cols>
  <sheetData>
    <row r="1" spans="1:10" ht="15.75" x14ac:dyDescent="0.25">
      <c r="A1" s="302" t="s">
        <v>212</v>
      </c>
      <c r="B1" s="302"/>
      <c r="C1" s="302"/>
      <c r="D1" s="302"/>
      <c r="E1" s="302"/>
      <c r="F1" s="302"/>
      <c r="G1" s="302"/>
      <c r="H1" s="302"/>
      <c r="I1" s="302"/>
      <c r="J1" s="126"/>
    </row>
    <row r="2" spans="1:10" ht="15.75" x14ac:dyDescent="0.25">
      <c r="A2" s="302" t="s">
        <v>213</v>
      </c>
      <c r="B2" s="302"/>
      <c r="C2" s="302"/>
      <c r="D2" s="302"/>
      <c r="E2" s="302"/>
      <c r="F2" s="302"/>
      <c r="G2" s="302"/>
      <c r="H2" s="302"/>
      <c r="I2" s="302"/>
      <c r="J2" s="126"/>
    </row>
    <row r="3" spans="1:10" ht="15.75" x14ac:dyDescent="0.25">
      <c r="A3" s="302" t="s">
        <v>215</v>
      </c>
      <c r="B3" s="302"/>
      <c r="C3" s="302"/>
      <c r="D3" s="302"/>
      <c r="E3" s="302"/>
      <c r="F3" s="302"/>
      <c r="G3" s="302"/>
      <c r="H3" s="302"/>
      <c r="I3" s="302"/>
      <c r="J3" s="126"/>
    </row>
    <row r="4" spans="1:10" ht="15.75" x14ac:dyDescent="0.25">
      <c r="A4" s="302" t="s">
        <v>214</v>
      </c>
      <c r="B4" s="302"/>
      <c r="C4" s="302"/>
      <c r="D4" s="302"/>
      <c r="E4" s="302"/>
      <c r="F4" s="302"/>
      <c r="G4" s="302"/>
      <c r="H4" s="302"/>
      <c r="I4" s="302"/>
      <c r="J4" s="126"/>
    </row>
    <row r="5" spans="1:10" ht="15.75" x14ac:dyDescent="0.25">
      <c r="A5" s="396" t="s">
        <v>323</v>
      </c>
      <c r="B5" s="396"/>
      <c r="C5" s="396"/>
      <c r="D5" s="396"/>
      <c r="E5" s="396"/>
      <c r="F5" s="396"/>
      <c r="G5" s="396"/>
      <c r="H5" s="396"/>
      <c r="I5" s="396"/>
      <c r="J5" s="126"/>
    </row>
    <row r="6" spans="1:10" x14ac:dyDescent="0.25">
      <c r="A6" s="385"/>
      <c r="B6" s="385"/>
      <c r="C6" s="385"/>
      <c r="D6" s="385"/>
      <c r="E6" s="385"/>
      <c r="F6" s="385"/>
      <c r="G6" s="385"/>
      <c r="H6" s="385"/>
      <c r="I6" s="385"/>
      <c r="J6" s="139"/>
    </row>
    <row r="7" spans="1:10" ht="18.75" x14ac:dyDescent="0.25">
      <c r="A7" s="390" t="s">
        <v>0</v>
      </c>
      <c r="B7" s="390"/>
      <c r="C7" s="390"/>
      <c r="D7" s="390"/>
      <c r="E7" s="390"/>
      <c r="F7" s="390"/>
      <c r="G7" s="390"/>
      <c r="H7" s="390"/>
      <c r="I7" s="390"/>
      <c r="J7" s="140"/>
    </row>
    <row r="8" spans="1:10" x14ac:dyDescent="0.25">
      <c r="A8" s="385"/>
      <c r="B8" s="385"/>
      <c r="C8" s="385"/>
      <c r="D8" s="385"/>
      <c r="E8" s="385"/>
      <c r="F8" s="385"/>
      <c r="G8" s="385"/>
      <c r="H8" s="385"/>
      <c r="I8" s="385"/>
      <c r="J8" s="139"/>
    </row>
    <row r="9" spans="1:10" x14ac:dyDescent="0.25">
      <c r="A9" s="391" t="s">
        <v>258</v>
      </c>
      <c r="B9" s="391"/>
      <c r="C9" s="391"/>
      <c r="D9" s="391"/>
      <c r="E9" s="391"/>
      <c r="F9" s="391"/>
      <c r="G9" s="391"/>
      <c r="H9" s="391"/>
      <c r="I9" s="391"/>
      <c r="J9" s="37"/>
    </row>
    <row r="10" spans="1:10" ht="21.75" customHeight="1" thickBot="1" x14ac:dyDescent="0.3">
      <c r="A10" s="392" t="s">
        <v>0</v>
      </c>
      <c r="B10" s="392"/>
      <c r="C10" s="392"/>
      <c r="D10" s="392"/>
      <c r="E10" s="392"/>
      <c r="F10" s="392"/>
      <c r="G10" s="392"/>
      <c r="H10" s="392"/>
      <c r="I10" s="392"/>
      <c r="J10" s="44"/>
    </row>
    <row r="11" spans="1:10" ht="13.5" customHeight="1" x14ac:dyDescent="0.25">
      <c r="A11" s="393" t="s">
        <v>1</v>
      </c>
      <c r="B11" s="393"/>
      <c r="C11" s="393"/>
      <c r="D11" s="393"/>
      <c r="E11" s="393"/>
      <c r="F11" s="393"/>
      <c r="G11" s="393"/>
      <c r="H11" s="393"/>
      <c r="I11" s="393"/>
      <c r="J11" s="45"/>
    </row>
    <row r="12" spans="1:10" ht="13.5" customHeight="1" x14ac:dyDescent="0.25">
      <c r="A12" s="137" t="s">
        <v>2</v>
      </c>
      <c r="B12" s="349" t="s">
        <v>3</v>
      </c>
      <c r="C12" s="349"/>
      <c r="D12" s="349"/>
      <c r="E12" s="394">
        <f>MARCEN!E12</f>
        <v>45065</v>
      </c>
      <c r="F12" s="395"/>
      <c r="G12" s="395"/>
      <c r="H12" s="395"/>
      <c r="I12" s="395"/>
      <c r="J12" s="46"/>
    </row>
    <row r="13" spans="1:10" ht="13.5" customHeight="1" x14ac:dyDescent="0.25">
      <c r="A13" s="137" t="s">
        <v>4</v>
      </c>
      <c r="B13" s="387" t="s">
        <v>5</v>
      </c>
      <c r="C13" s="387"/>
      <c r="D13" s="387"/>
      <c r="E13" s="397" t="str">
        <f>MARCEN!E13</f>
        <v>Picos/PI</v>
      </c>
      <c r="F13" s="398"/>
      <c r="G13" s="398"/>
      <c r="H13" s="398"/>
      <c r="I13" s="398"/>
      <c r="J13" s="47"/>
    </row>
    <row r="14" spans="1:10" ht="13.5" customHeight="1" x14ac:dyDescent="0.25">
      <c r="A14" s="137" t="s">
        <v>6</v>
      </c>
      <c r="B14" s="387" t="s">
        <v>7</v>
      </c>
      <c r="C14" s="387"/>
      <c r="D14" s="387"/>
      <c r="E14" s="397" t="str">
        <f>MARCEN!E14</f>
        <v>PI000066/2023</v>
      </c>
      <c r="F14" s="398"/>
      <c r="G14" s="398"/>
      <c r="H14" s="398"/>
      <c r="I14" s="398"/>
      <c r="J14" s="48"/>
    </row>
    <row r="15" spans="1:10" ht="13.5" customHeight="1" x14ac:dyDescent="0.25">
      <c r="A15" s="137" t="s">
        <v>8</v>
      </c>
      <c r="B15" s="349" t="s">
        <v>9</v>
      </c>
      <c r="C15" s="349"/>
      <c r="D15" s="349"/>
      <c r="E15" s="342" t="s">
        <v>194</v>
      </c>
      <c r="F15" s="342"/>
      <c r="G15" s="342"/>
      <c r="H15" s="342"/>
      <c r="I15" s="342"/>
      <c r="J15" s="147"/>
    </row>
    <row r="16" spans="1:10" x14ac:dyDescent="0.25">
      <c r="A16" s="385"/>
      <c r="B16" s="385"/>
      <c r="C16" s="385"/>
      <c r="D16" s="385"/>
      <c r="E16" s="385"/>
      <c r="F16" s="385"/>
      <c r="G16" s="385"/>
      <c r="H16" s="385"/>
      <c r="I16" s="385"/>
      <c r="J16" s="139"/>
    </row>
    <row r="17" spans="1:16" ht="26.25" customHeight="1" x14ac:dyDescent="0.25">
      <c r="A17" s="335" t="s">
        <v>10</v>
      </c>
      <c r="B17" s="335"/>
      <c r="C17" s="335"/>
      <c r="D17" s="335"/>
      <c r="E17" s="335"/>
      <c r="F17" s="335" t="s">
        <v>11</v>
      </c>
      <c r="G17" s="335"/>
      <c r="H17" s="356" t="s">
        <v>207</v>
      </c>
      <c r="I17" s="356"/>
      <c r="J17" s="49"/>
      <c r="O17" s="30"/>
    </row>
    <row r="18" spans="1:16" x14ac:dyDescent="0.25">
      <c r="A18" s="342" t="str">
        <f>A9</f>
        <v>ELETRICISTA</v>
      </c>
      <c r="B18" s="342"/>
      <c r="C18" s="342"/>
      <c r="D18" s="342"/>
      <c r="E18" s="342"/>
      <c r="F18" s="342" t="s">
        <v>257</v>
      </c>
      <c r="G18" s="342"/>
      <c r="H18" s="386">
        <v>2</v>
      </c>
      <c r="I18" s="386"/>
      <c r="J18" s="50"/>
    </row>
    <row r="19" spans="1:16" x14ac:dyDescent="0.25">
      <c r="A19" s="356" t="s">
        <v>124</v>
      </c>
      <c r="B19" s="356"/>
      <c r="C19" s="356"/>
      <c r="D19" s="356"/>
      <c r="E19" s="356"/>
      <c r="F19" s="356"/>
      <c r="G19" s="356"/>
      <c r="H19" s="356"/>
      <c r="I19" s="356"/>
      <c r="J19" s="49"/>
    </row>
    <row r="20" spans="1:16" x14ac:dyDescent="0.25">
      <c r="A20" s="137">
        <v>1</v>
      </c>
      <c r="B20" s="349" t="s">
        <v>12</v>
      </c>
      <c r="C20" s="349"/>
      <c r="D20" s="349"/>
      <c r="E20" s="349"/>
      <c r="F20" s="349"/>
      <c r="G20" s="349"/>
      <c r="H20" s="379" t="s">
        <v>251</v>
      </c>
      <c r="I20" s="379"/>
      <c r="J20" s="147"/>
    </row>
    <row r="21" spans="1:16" x14ac:dyDescent="0.25">
      <c r="A21" s="137">
        <v>2</v>
      </c>
      <c r="B21" s="339" t="s">
        <v>216</v>
      </c>
      <c r="C21" s="340"/>
      <c r="D21" s="340"/>
      <c r="E21" s="340"/>
      <c r="F21" s="340"/>
      <c r="G21" s="380"/>
      <c r="H21" s="381" t="s">
        <v>259</v>
      </c>
      <c r="I21" s="382"/>
      <c r="J21" s="147"/>
    </row>
    <row r="22" spans="1:16" s="21" customFormat="1" ht="12.75" x14ac:dyDescent="0.2">
      <c r="A22" s="204">
        <v>3</v>
      </c>
      <c r="B22" s="383" t="s">
        <v>13</v>
      </c>
      <c r="C22" s="383"/>
      <c r="D22" s="383"/>
      <c r="E22" s="383"/>
      <c r="F22" s="383"/>
      <c r="G22" s="383"/>
      <c r="H22" s="384">
        <f>1283.03*107.43%</f>
        <v>1378.3591289999999</v>
      </c>
      <c r="I22" s="384"/>
      <c r="J22" s="51"/>
    </row>
    <row r="23" spans="1:16" x14ac:dyDescent="0.25">
      <c r="A23" s="137">
        <v>4</v>
      </c>
      <c r="B23" s="349" t="s">
        <v>14</v>
      </c>
      <c r="C23" s="349"/>
      <c r="D23" s="349"/>
      <c r="E23" s="349"/>
      <c r="F23" s="349"/>
      <c r="G23" s="349"/>
      <c r="H23" s="374" t="str">
        <f>A9</f>
        <v>ELETRICISTA</v>
      </c>
      <c r="I23" s="374"/>
      <c r="J23" s="52"/>
      <c r="N23" s="4"/>
    </row>
    <row r="24" spans="1:16" x14ac:dyDescent="0.25">
      <c r="A24" s="137">
        <v>5</v>
      </c>
      <c r="B24" s="375" t="s">
        <v>15</v>
      </c>
      <c r="C24" s="375"/>
      <c r="D24" s="375"/>
      <c r="E24" s="375"/>
      <c r="F24" s="375"/>
      <c r="G24" s="375"/>
      <c r="H24" s="376">
        <v>44927</v>
      </c>
      <c r="I24" s="377"/>
      <c r="J24" s="53"/>
    </row>
    <row r="25" spans="1:16" x14ac:dyDescent="0.25">
      <c r="A25" s="378"/>
      <c r="B25" s="378"/>
      <c r="C25" s="378"/>
      <c r="D25" s="378"/>
      <c r="E25" s="378"/>
      <c r="F25" s="378"/>
      <c r="G25" s="378"/>
      <c r="H25" s="378"/>
      <c r="I25" s="378"/>
      <c r="J25" s="147"/>
    </row>
    <row r="26" spans="1:16" ht="13.5" customHeight="1" x14ac:dyDescent="0.25">
      <c r="A26" s="347" t="s">
        <v>16</v>
      </c>
      <c r="B26" s="347"/>
      <c r="C26" s="347"/>
      <c r="D26" s="347"/>
      <c r="E26" s="347"/>
      <c r="F26" s="347"/>
      <c r="G26" s="347"/>
      <c r="H26" s="347"/>
      <c r="I26" s="347"/>
      <c r="J26" s="54"/>
    </row>
    <row r="27" spans="1:16" ht="13.5" customHeight="1" x14ac:dyDescent="0.25">
      <c r="A27" s="142">
        <v>1</v>
      </c>
      <c r="B27" s="335" t="s">
        <v>17</v>
      </c>
      <c r="C27" s="335"/>
      <c r="D27" s="335"/>
      <c r="E27" s="335"/>
      <c r="F27" s="335"/>
      <c r="G27" s="335" t="s">
        <v>18</v>
      </c>
      <c r="H27" s="335"/>
      <c r="I27" s="142" t="s">
        <v>19</v>
      </c>
      <c r="J27" s="55"/>
    </row>
    <row r="28" spans="1:16" s="223" customFormat="1" ht="13.5" customHeight="1" x14ac:dyDescent="0.25">
      <c r="A28" s="219" t="s">
        <v>2</v>
      </c>
      <c r="B28" s="372" t="s">
        <v>20</v>
      </c>
      <c r="C28" s="372"/>
      <c r="D28" s="372"/>
      <c r="E28" s="372"/>
      <c r="F28" s="372"/>
      <c r="G28" s="373">
        <v>1</v>
      </c>
      <c r="H28" s="373"/>
      <c r="I28" s="220">
        <f>H22</f>
        <v>1378.3591289999999</v>
      </c>
      <c r="J28" s="221"/>
      <c r="K28" s="222"/>
      <c r="L28" s="222"/>
      <c r="M28" s="222"/>
      <c r="N28" s="222"/>
      <c r="O28" s="222"/>
      <c r="P28" s="222"/>
    </row>
    <row r="29" spans="1:16" s="218" customFormat="1" ht="13.5" customHeight="1" x14ac:dyDescent="0.25">
      <c r="A29" s="219" t="s">
        <v>4</v>
      </c>
      <c r="B29" s="372" t="s">
        <v>21</v>
      </c>
      <c r="C29" s="372"/>
      <c r="D29" s="372"/>
      <c r="E29" s="372"/>
      <c r="F29" s="372"/>
      <c r="G29" s="373">
        <v>0.3</v>
      </c>
      <c r="H29" s="373"/>
      <c r="I29" s="237">
        <f>(I28*G29)</f>
        <v>413.50773869999995</v>
      </c>
      <c r="J29" s="238"/>
      <c r="K29" s="217"/>
      <c r="L29" s="217"/>
      <c r="M29" s="217"/>
      <c r="N29" s="217"/>
      <c r="O29" s="217"/>
      <c r="P29" s="217"/>
    </row>
    <row r="30" spans="1:16" ht="13.5" customHeight="1" x14ac:dyDescent="0.25">
      <c r="A30" s="202" t="s">
        <v>6</v>
      </c>
      <c r="B30" s="399" t="s">
        <v>22</v>
      </c>
      <c r="C30" s="399"/>
      <c r="D30" s="399"/>
      <c r="E30" s="399"/>
      <c r="F30" s="399"/>
      <c r="G30" s="400">
        <v>0</v>
      </c>
      <c r="H30" s="400"/>
      <c r="I30" s="81">
        <f>(I28*G30)</f>
        <v>0</v>
      </c>
      <c r="J30" s="57"/>
    </row>
    <row r="31" spans="1:16" ht="13.5" customHeight="1" x14ac:dyDescent="0.25">
      <c r="A31" s="137" t="s">
        <v>8</v>
      </c>
      <c r="B31" s="357" t="s">
        <v>23</v>
      </c>
      <c r="C31" s="357"/>
      <c r="D31" s="357"/>
      <c r="E31" s="357"/>
      <c r="F31" s="357"/>
      <c r="G31" s="370">
        <v>0</v>
      </c>
      <c r="H31" s="370"/>
      <c r="I31" s="56">
        <v>0</v>
      </c>
      <c r="J31" s="57"/>
    </row>
    <row r="32" spans="1:16" ht="13.5" customHeight="1" x14ac:dyDescent="0.25">
      <c r="A32" s="137" t="s">
        <v>24</v>
      </c>
      <c r="B32" s="357" t="s">
        <v>25</v>
      </c>
      <c r="C32" s="357"/>
      <c r="D32" s="357"/>
      <c r="E32" s="357"/>
      <c r="F32" s="357"/>
      <c r="G32" s="370">
        <v>0</v>
      </c>
      <c r="H32" s="370"/>
      <c r="I32" s="56">
        <v>0</v>
      </c>
      <c r="J32" s="57"/>
    </row>
    <row r="33" spans="1:16" ht="13.5" customHeight="1" x14ac:dyDescent="0.25">
      <c r="A33" s="137" t="s">
        <v>26</v>
      </c>
      <c r="B33" s="357" t="s">
        <v>27</v>
      </c>
      <c r="C33" s="357"/>
      <c r="D33" s="357"/>
      <c r="E33" s="357"/>
      <c r="F33" s="357"/>
      <c r="G33" s="370">
        <v>0</v>
      </c>
      <c r="H33" s="370"/>
      <c r="I33" s="56">
        <v>0</v>
      </c>
      <c r="J33" s="57"/>
    </row>
    <row r="34" spans="1:16" ht="13.5" customHeight="1" x14ac:dyDescent="0.25">
      <c r="A34" s="137" t="s">
        <v>28</v>
      </c>
      <c r="B34" s="349" t="s">
        <v>29</v>
      </c>
      <c r="C34" s="349"/>
      <c r="D34" s="349"/>
      <c r="E34" s="349"/>
      <c r="F34" s="349"/>
      <c r="G34" s="370">
        <v>0</v>
      </c>
      <c r="H34" s="370"/>
      <c r="I34" s="56">
        <v>0</v>
      </c>
      <c r="J34" s="57"/>
    </row>
    <row r="35" spans="1:16" ht="13.5" customHeight="1" x14ac:dyDescent="0.25">
      <c r="A35" s="335" t="s">
        <v>30</v>
      </c>
      <c r="B35" s="335"/>
      <c r="C35" s="335"/>
      <c r="D35" s="335"/>
      <c r="E35" s="335"/>
      <c r="F35" s="335"/>
      <c r="G35" s="335"/>
      <c r="H35" s="335"/>
      <c r="I35" s="60">
        <f>SUM(I28:I34)</f>
        <v>1791.8668676999998</v>
      </c>
      <c r="J35" s="61"/>
    </row>
    <row r="36" spans="1:16" x14ac:dyDescent="0.25">
      <c r="A36" s="371"/>
      <c r="B36" s="371"/>
      <c r="C36" s="371"/>
      <c r="D36" s="371"/>
      <c r="E36" s="371"/>
      <c r="F36" s="371"/>
      <c r="G36" s="371"/>
      <c r="H36" s="371"/>
      <c r="I36" s="371"/>
      <c r="J36" s="149"/>
    </row>
    <row r="37" spans="1:16" ht="13.5" customHeight="1" x14ac:dyDescent="0.25">
      <c r="A37" s="347" t="s">
        <v>127</v>
      </c>
      <c r="B37" s="347"/>
      <c r="C37" s="347"/>
      <c r="D37" s="347"/>
      <c r="E37" s="347"/>
      <c r="F37" s="347"/>
      <c r="G37" s="347"/>
      <c r="H37" s="347"/>
      <c r="I37" s="347"/>
      <c r="J37" s="54"/>
    </row>
    <row r="38" spans="1:16" ht="13.5" customHeight="1" x14ac:dyDescent="0.25">
      <c r="A38" s="142" t="s">
        <v>31</v>
      </c>
      <c r="B38" s="359" t="s">
        <v>32</v>
      </c>
      <c r="C38" s="359"/>
      <c r="D38" s="359"/>
      <c r="E38" s="359"/>
      <c r="F38" s="359"/>
      <c r="G38" s="359"/>
      <c r="H38" s="142" t="s">
        <v>18</v>
      </c>
      <c r="I38" s="142" t="s">
        <v>19</v>
      </c>
      <c r="J38" s="55"/>
    </row>
    <row r="39" spans="1:16" ht="13.5" customHeight="1" x14ac:dyDescent="0.25">
      <c r="A39" s="137" t="s">
        <v>2</v>
      </c>
      <c r="B39" s="358" t="s">
        <v>33</v>
      </c>
      <c r="C39" s="358"/>
      <c r="D39" s="358"/>
      <c r="E39" s="358"/>
      <c r="F39" s="358"/>
      <c r="G39" s="358"/>
      <c r="H39" s="148">
        <f>(1/12)*1</f>
        <v>8.3333333333333329E-2</v>
      </c>
      <c r="I39" s="56">
        <f>$I$35*H39</f>
        <v>149.32223897499998</v>
      </c>
      <c r="J39" s="57"/>
    </row>
    <row r="40" spans="1:16" ht="13.5" customHeight="1" x14ac:dyDescent="0.25">
      <c r="A40" s="137" t="s">
        <v>4</v>
      </c>
      <c r="B40" s="358" t="s">
        <v>34</v>
      </c>
      <c r="C40" s="358"/>
      <c r="D40" s="358"/>
      <c r="E40" s="358"/>
      <c r="F40" s="358"/>
      <c r="G40" s="358"/>
      <c r="H40" s="148">
        <f>((1+1/3)/12)*1</f>
        <v>0.1111111111111111</v>
      </c>
      <c r="I40" s="56">
        <f>$I$35*H40</f>
        <v>199.09631863333331</v>
      </c>
      <c r="J40" s="57"/>
    </row>
    <row r="41" spans="1:16" ht="13.5" customHeight="1" x14ac:dyDescent="0.25">
      <c r="A41" s="62"/>
      <c r="B41" s="335" t="s">
        <v>35</v>
      </c>
      <c r="C41" s="335"/>
      <c r="D41" s="335"/>
      <c r="E41" s="335"/>
      <c r="F41" s="335"/>
      <c r="G41" s="335"/>
      <c r="H41" s="63">
        <f>SUM(H39:H40)</f>
        <v>0.19444444444444442</v>
      </c>
      <c r="I41" s="64">
        <f>SUM(I39:I40)</f>
        <v>348.41855760833329</v>
      </c>
      <c r="J41" s="65"/>
      <c r="K41" s="31">
        <f>H52*H41</f>
        <v>6.9766666666666671E-2</v>
      </c>
    </row>
    <row r="42" spans="1:16" ht="9.75" customHeight="1" x14ac:dyDescent="0.25">
      <c r="A42" s="141"/>
      <c r="B42" s="141"/>
      <c r="C42" s="141"/>
      <c r="D42" s="141"/>
      <c r="E42" s="141"/>
      <c r="F42" s="141"/>
      <c r="G42" s="141"/>
      <c r="H42" s="141"/>
      <c r="I42" s="66"/>
      <c r="J42" s="66"/>
    </row>
    <row r="43" spans="1:16" ht="13.5" customHeight="1" x14ac:dyDescent="0.25">
      <c r="A43" s="142" t="s">
        <v>36</v>
      </c>
      <c r="B43" s="359" t="s">
        <v>37</v>
      </c>
      <c r="C43" s="359"/>
      <c r="D43" s="359"/>
      <c r="E43" s="359"/>
      <c r="F43" s="359"/>
      <c r="G43" s="359"/>
      <c r="H43" s="142" t="s">
        <v>18</v>
      </c>
      <c r="I43" s="142" t="s">
        <v>19</v>
      </c>
      <c r="J43" s="55"/>
    </row>
    <row r="44" spans="1:16" ht="13.5" customHeight="1" x14ac:dyDescent="0.25">
      <c r="A44" s="137" t="s">
        <v>2</v>
      </c>
      <c r="B44" s="358" t="s">
        <v>38</v>
      </c>
      <c r="C44" s="358"/>
      <c r="D44" s="358"/>
      <c r="E44" s="358"/>
      <c r="F44" s="358"/>
      <c r="G44" s="358"/>
      <c r="H44" s="128">
        <v>0.2</v>
      </c>
      <c r="I44" s="56">
        <f>SUM($I$35,$I$41)*H44</f>
        <v>428.05708506166667</v>
      </c>
      <c r="J44" s="57"/>
    </row>
    <row r="45" spans="1:16" ht="13.5" customHeight="1" x14ac:dyDescent="0.25">
      <c r="A45" s="137" t="s">
        <v>4</v>
      </c>
      <c r="B45" s="358" t="s">
        <v>39</v>
      </c>
      <c r="C45" s="358"/>
      <c r="D45" s="358"/>
      <c r="E45" s="358"/>
      <c r="F45" s="358"/>
      <c r="G45" s="358"/>
      <c r="H45" s="67">
        <v>2.5000000000000001E-2</v>
      </c>
      <c r="I45" s="56">
        <f t="shared" ref="I45:I51" si="0">SUM($I$35,$I$41)*H45</f>
        <v>53.507135632708334</v>
      </c>
      <c r="J45" s="57"/>
    </row>
    <row r="46" spans="1:16" s="83" customFormat="1" ht="13.5" customHeight="1" x14ac:dyDescent="0.25">
      <c r="A46" s="205" t="s">
        <v>6</v>
      </c>
      <c r="B46" s="364" t="s">
        <v>40</v>
      </c>
      <c r="C46" s="364"/>
      <c r="D46" s="364"/>
      <c r="E46" s="364"/>
      <c r="F46" s="364"/>
      <c r="G46" s="364"/>
      <c r="H46" s="207">
        <v>2.0799999999999999E-2</v>
      </c>
      <c r="I46" s="81">
        <f t="shared" si="0"/>
        <v>44.517936846413328</v>
      </c>
      <c r="J46" s="82"/>
      <c r="K46" s="21"/>
      <c r="L46" s="21"/>
      <c r="M46" s="21"/>
      <c r="N46" s="21"/>
      <c r="O46" s="21"/>
      <c r="P46" s="21"/>
    </row>
    <row r="47" spans="1:16" ht="13.5" customHeight="1" x14ac:dyDescent="0.25">
      <c r="A47" s="137" t="s">
        <v>8</v>
      </c>
      <c r="B47" s="358" t="s">
        <v>41</v>
      </c>
      <c r="C47" s="358"/>
      <c r="D47" s="358"/>
      <c r="E47" s="358"/>
      <c r="F47" s="358"/>
      <c r="G47" s="358"/>
      <c r="H47" s="68">
        <v>1.4999999999999999E-2</v>
      </c>
      <c r="I47" s="56">
        <f t="shared" si="0"/>
        <v>32.104281379625</v>
      </c>
      <c r="J47" s="57"/>
    </row>
    <row r="48" spans="1:16" ht="13.5" customHeight="1" x14ac:dyDescent="0.25">
      <c r="A48" s="137" t="s">
        <v>24</v>
      </c>
      <c r="B48" s="358" t="s">
        <v>42</v>
      </c>
      <c r="C48" s="358"/>
      <c r="D48" s="358"/>
      <c r="E48" s="358"/>
      <c r="F48" s="358"/>
      <c r="G48" s="358"/>
      <c r="H48" s="68">
        <v>0.01</v>
      </c>
      <c r="I48" s="56">
        <f t="shared" si="0"/>
        <v>21.402854253083333</v>
      </c>
      <c r="J48" s="57"/>
    </row>
    <row r="49" spans="1:16" ht="13.5" customHeight="1" x14ac:dyDescent="0.25">
      <c r="A49" s="137" t="s">
        <v>26</v>
      </c>
      <c r="B49" s="358" t="s">
        <v>43</v>
      </c>
      <c r="C49" s="358"/>
      <c r="D49" s="358"/>
      <c r="E49" s="358"/>
      <c r="F49" s="358"/>
      <c r="G49" s="358"/>
      <c r="H49" s="68">
        <v>6.0000000000000001E-3</v>
      </c>
      <c r="I49" s="56">
        <f t="shared" si="0"/>
        <v>12.84171255185</v>
      </c>
      <c r="J49" s="57"/>
    </row>
    <row r="50" spans="1:16" ht="13.5" customHeight="1" x14ac:dyDescent="0.25">
      <c r="A50" s="137" t="s">
        <v>28</v>
      </c>
      <c r="B50" s="358" t="s">
        <v>44</v>
      </c>
      <c r="C50" s="358"/>
      <c r="D50" s="358"/>
      <c r="E50" s="358"/>
      <c r="F50" s="358"/>
      <c r="G50" s="358"/>
      <c r="H50" s="68">
        <v>2E-3</v>
      </c>
      <c r="I50" s="56">
        <f t="shared" si="0"/>
        <v>4.2805708506166669</v>
      </c>
      <c r="J50" s="57"/>
    </row>
    <row r="51" spans="1:16" ht="13.5" customHeight="1" x14ac:dyDescent="0.25">
      <c r="A51" s="137" t="s">
        <v>45</v>
      </c>
      <c r="B51" s="358" t="s">
        <v>46</v>
      </c>
      <c r="C51" s="358"/>
      <c r="D51" s="358"/>
      <c r="E51" s="358"/>
      <c r="F51" s="358"/>
      <c r="G51" s="358"/>
      <c r="H51" s="68">
        <v>0.08</v>
      </c>
      <c r="I51" s="56">
        <f t="shared" si="0"/>
        <v>171.22283402466667</v>
      </c>
      <c r="J51" s="57"/>
    </row>
    <row r="52" spans="1:16" ht="13.5" customHeight="1" x14ac:dyDescent="0.25">
      <c r="A52" s="336" t="s">
        <v>47</v>
      </c>
      <c r="B52" s="337"/>
      <c r="C52" s="337"/>
      <c r="D52" s="337"/>
      <c r="E52" s="337"/>
      <c r="F52" s="337"/>
      <c r="G52" s="338"/>
      <c r="H52" s="63">
        <f>SUM(H44:H51)</f>
        <v>0.35880000000000006</v>
      </c>
      <c r="I52" s="69">
        <f>SUM(I44:I51)</f>
        <v>767.93441060063003</v>
      </c>
      <c r="J52" s="70"/>
    </row>
    <row r="53" spans="1:16" ht="10.5" customHeight="1" x14ac:dyDescent="0.25">
      <c r="A53" s="141"/>
      <c r="B53" s="141"/>
      <c r="C53" s="141"/>
      <c r="D53" s="141"/>
      <c r="E53" s="141"/>
      <c r="F53" s="141"/>
      <c r="G53" s="141"/>
      <c r="H53" s="141"/>
      <c r="I53" s="71"/>
      <c r="J53" s="71"/>
    </row>
    <row r="54" spans="1:16" ht="13.5" customHeight="1" x14ac:dyDescent="0.25">
      <c r="A54" s="142" t="s">
        <v>48</v>
      </c>
      <c r="B54" s="359" t="s">
        <v>49</v>
      </c>
      <c r="C54" s="359"/>
      <c r="D54" s="359"/>
      <c r="E54" s="359"/>
      <c r="F54" s="359"/>
      <c r="G54" s="359"/>
      <c r="H54" s="142" t="s">
        <v>50</v>
      </c>
      <c r="I54" s="142" t="s">
        <v>19</v>
      </c>
      <c r="J54" s="55"/>
    </row>
    <row r="55" spans="1:16" s="223" customFormat="1" ht="13.5" customHeight="1" x14ac:dyDescent="0.25">
      <c r="A55" s="219" t="s">
        <v>2</v>
      </c>
      <c r="B55" s="367" t="s">
        <v>324</v>
      </c>
      <c r="C55" s="367"/>
      <c r="D55" s="367"/>
      <c r="E55" s="367"/>
      <c r="F55" s="367"/>
      <c r="G55" s="367"/>
      <c r="H55" s="225">
        <v>5</v>
      </c>
      <c r="I55" s="226">
        <f>(H55*2*22)-(I28*6%)</f>
        <v>137.29845226</v>
      </c>
      <c r="J55" s="227"/>
      <c r="K55" s="224"/>
      <c r="L55" s="222"/>
      <c r="M55" s="222"/>
      <c r="N55" s="222"/>
      <c r="O55" s="222"/>
      <c r="P55" s="222"/>
    </row>
    <row r="56" spans="1:16" s="223" customFormat="1" ht="13.5" customHeight="1" x14ac:dyDescent="0.25">
      <c r="A56" s="219" t="s">
        <v>4</v>
      </c>
      <c r="B56" s="367" t="s">
        <v>322</v>
      </c>
      <c r="C56" s="367"/>
      <c r="D56" s="367"/>
      <c r="E56" s="367"/>
      <c r="F56" s="367"/>
      <c r="G56" s="367"/>
      <c r="H56" s="225">
        <v>412.05</v>
      </c>
      <c r="I56" s="220">
        <f>H56</f>
        <v>412.05</v>
      </c>
      <c r="J56" s="221"/>
      <c r="K56" s="222"/>
      <c r="L56" s="222"/>
      <c r="M56" s="222"/>
      <c r="N56" s="222"/>
      <c r="O56" s="222"/>
      <c r="P56" s="222"/>
    </row>
    <row r="57" spans="1:16" ht="13.5" customHeight="1" x14ac:dyDescent="0.25">
      <c r="A57" s="137" t="s">
        <v>6</v>
      </c>
      <c r="B57" s="369" t="s">
        <v>310</v>
      </c>
      <c r="C57" s="369"/>
      <c r="D57" s="369"/>
      <c r="E57" s="369"/>
      <c r="F57" s="369"/>
      <c r="G57" s="369"/>
      <c r="H57" s="73">
        <v>141.68</v>
      </c>
      <c r="I57" s="177">
        <f>(H57*40%)</f>
        <v>56.672000000000004</v>
      </c>
      <c r="J57" s="57"/>
      <c r="K57" s="166"/>
    </row>
    <row r="58" spans="1:16" ht="13.5" customHeight="1" x14ac:dyDescent="0.25">
      <c r="A58" s="136" t="s">
        <v>8</v>
      </c>
      <c r="B58" s="368" t="s">
        <v>252</v>
      </c>
      <c r="C58" s="368"/>
      <c r="D58" s="368"/>
      <c r="E58" s="368"/>
      <c r="F58" s="368"/>
      <c r="G58" s="368"/>
      <c r="H58" s="73">
        <f>I35</f>
        <v>1791.8668676999998</v>
      </c>
      <c r="I58" s="74">
        <f>(H58*26)*0.002/12</f>
        <v>7.7647564266999991</v>
      </c>
      <c r="J58" s="72"/>
    </row>
    <row r="59" spans="1:16" ht="13.5" customHeight="1" x14ac:dyDescent="0.25">
      <c r="A59" s="137" t="s">
        <v>24</v>
      </c>
      <c r="B59" s="358" t="s">
        <v>203</v>
      </c>
      <c r="C59" s="358"/>
      <c r="D59" s="358"/>
      <c r="E59" s="358"/>
      <c r="F59" s="358"/>
      <c r="G59" s="358"/>
      <c r="H59" s="73">
        <v>0</v>
      </c>
      <c r="I59" s="74">
        <f>(H59*6*0.02)/12</f>
        <v>0</v>
      </c>
      <c r="J59" s="72"/>
    </row>
    <row r="60" spans="1:16" ht="13.5" customHeight="1" x14ac:dyDescent="0.25">
      <c r="A60" s="137" t="s">
        <v>26</v>
      </c>
      <c r="B60" s="369" t="s">
        <v>202</v>
      </c>
      <c r="C60" s="369"/>
      <c r="D60" s="369"/>
      <c r="E60" s="369"/>
      <c r="F60" s="369"/>
      <c r="G60" s="369"/>
      <c r="H60" s="75">
        <v>0</v>
      </c>
      <c r="I60" s="76">
        <f>H60</f>
        <v>0</v>
      </c>
      <c r="J60" s="77"/>
    </row>
    <row r="61" spans="1:16" ht="13.5" customHeight="1" x14ac:dyDescent="0.25">
      <c r="A61" s="137" t="s">
        <v>28</v>
      </c>
      <c r="B61" s="358" t="s">
        <v>51</v>
      </c>
      <c r="C61" s="358"/>
      <c r="D61" s="358"/>
      <c r="E61" s="358"/>
      <c r="F61" s="358"/>
      <c r="G61" s="358"/>
      <c r="H61" s="73">
        <v>0</v>
      </c>
      <c r="I61" s="56">
        <f>H61</f>
        <v>0</v>
      </c>
      <c r="J61" s="57"/>
    </row>
    <row r="62" spans="1:16" s="78" customFormat="1" ht="13.5" customHeight="1" x14ac:dyDescent="0.25">
      <c r="A62" s="146" t="s">
        <v>45</v>
      </c>
      <c r="B62" s="369" t="s">
        <v>209</v>
      </c>
      <c r="C62" s="369"/>
      <c r="D62" s="369"/>
      <c r="E62" s="369"/>
      <c r="F62" s="369"/>
      <c r="G62" s="369"/>
      <c r="H62" s="75">
        <v>0</v>
      </c>
      <c r="I62" s="76">
        <f>H62</f>
        <v>0</v>
      </c>
      <c r="J62" s="77"/>
      <c r="K62" s="32"/>
      <c r="L62" s="32"/>
      <c r="M62" s="32"/>
      <c r="N62" s="32"/>
      <c r="O62" s="32"/>
      <c r="P62" s="32"/>
    </row>
    <row r="63" spans="1:16" ht="13.5" customHeight="1" x14ac:dyDescent="0.25">
      <c r="A63" s="336" t="s">
        <v>52</v>
      </c>
      <c r="B63" s="337"/>
      <c r="C63" s="337"/>
      <c r="D63" s="337"/>
      <c r="E63" s="337"/>
      <c r="F63" s="337"/>
      <c r="G63" s="337"/>
      <c r="H63" s="338"/>
      <c r="I63" s="69">
        <f>TRUNC(SUM(I55:I62),2)</f>
        <v>613.78</v>
      </c>
      <c r="J63" s="70"/>
    </row>
    <row r="64" spans="1:16" ht="12" customHeight="1" x14ac:dyDescent="0.25">
      <c r="A64" s="141"/>
      <c r="B64" s="141"/>
      <c r="C64" s="141"/>
      <c r="D64" s="141"/>
      <c r="E64" s="141"/>
      <c r="F64" s="141"/>
      <c r="G64" s="141"/>
      <c r="H64" s="141"/>
      <c r="I64" s="71"/>
      <c r="J64" s="71"/>
    </row>
    <row r="65" spans="1:16" ht="13.5" customHeight="1" x14ac:dyDescent="0.25">
      <c r="A65" s="335" t="s">
        <v>53</v>
      </c>
      <c r="B65" s="335"/>
      <c r="C65" s="335"/>
      <c r="D65" s="335"/>
      <c r="E65" s="335"/>
      <c r="F65" s="335"/>
      <c r="G65" s="335"/>
      <c r="H65" s="335"/>
      <c r="I65" s="335"/>
      <c r="J65" s="55"/>
    </row>
    <row r="66" spans="1:16" ht="13.5" customHeight="1" x14ac:dyDescent="0.25">
      <c r="A66" s="79" t="s">
        <v>31</v>
      </c>
      <c r="B66" s="368" t="s">
        <v>54</v>
      </c>
      <c r="C66" s="368"/>
      <c r="D66" s="368"/>
      <c r="E66" s="368"/>
      <c r="F66" s="368"/>
      <c r="G66" s="368"/>
      <c r="H66" s="368"/>
      <c r="I66" s="56">
        <f>I41</f>
        <v>348.41855760833329</v>
      </c>
      <c r="J66" s="57"/>
    </row>
    <row r="67" spans="1:16" ht="13.5" customHeight="1" x14ac:dyDescent="0.25">
      <c r="A67" s="79" t="s">
        <v>36</v>
      </c>
      <c r="B67" s="358" t="s">
        <v>55</v>
      </c>
      <c r="C67" s="358"/>
      <c r="D67" s="358"/>
      <c r="E67" s="358"/>
      <c r="F67" s="358"/>
      <c r="G67" s="358"/>
      <c r="H67" s="358"/>
      <c r="I67" s="56">
        <f>I52</f>
        <v>767.93441060063003</v>
      </c>
      <c r="J67" s="57"/>
    </row>
    <row r="68" spans="1:16" ht="13.5" customHeight="1" x14ac:dyDescent="0.25">
      <c r="A68" s="79" t="s">
        <v>48</v>
      </c>
      <c r="B68" s="358" t="s">
        <v>56</v>
      </c>
      <c r="C68" s="358"/>
      <c r="D68" s="358"/>
      <c r="E68" s="358"/>
      <c r="F68" s="358"/>
      <c r="G68" s="358"/>
      <c r="H68" s="358"/>
      <c r="I68" s="56">
        <f>I63</f>
        <v>613.78</v>
      </c>
      <c r="J68" s="57"/>
    </row>
    <row r="69" spans="1:16" ht="13.5" customHeight="1" x14ac:dyDescent="0.25">
      <c r="A69" s="335" t="s">
        <v>57</v>
      </c>
      <c r="B69" s="335"/>
      <c r="C69" s="335"/>
      <c r="D69" s="335"/>
      <c r="E69" s="335"/>
      <c r="F69" s="335"/>
      <c r="G69" s="335"/>
      <c r="H69" s="335"/>
      <c r="I69" s="60">
        <f>SUM(I66:I68)</f>
        <v>1730.1329682089633</v>
      </c>
      <c r="J69" s="61"/>
    </row>
    <row r="70" spans="1:16" x14ac:dyDescent="0.25">
      <c r="A70" s="141"/>
      <c r="B70" s="141"/>
      <c r="C70" s="141"/>
      <c r="D70" s="141"/>
      <c r="E70" s="141"/>
      <c r="F70" s="141"/>
      <c r="G70" s="141"/>
      <c r="H70" s="141"/>
      <c r="I70" s="71"/>
      <c r="J70" s="71"/>
    </row>
    <row r="71" spans="1:16" ht="13.5" customHeight="1" x14ac:dyDescent="0.25">
      <c r="A71" s="347" t="s">
        <v>125</v>
      </c>
      <c r="B71" s="347"/>
      <c r="C71" s="347"/>
      <c r="D71" s="347"/>
      <c r="E71" s="347"/>
      <c r="F71" s="347"/>
      <c r="G71" s="347"/>
      <c r="H71" s="347"/>
      <c r="I71" s="347"/>
      <c r="J71" s="54"/>
    </row>
    <row r="72" spans="1:16" ht="13.5" customHeight="1" x14ac:dyDescent="0.25">
      <c r="A72" s="203">
        <v>3</v>
      </c>
      <c r="B72" s="366" t="s">
        <v>58</v>
      </c>
      <c r="C72" s="366"/>
      <c r="D72" s="366"/>
      <c r="E72" s="366"/>
      <c r="F72" s="366"/>
      <c r="G72" s="366"/>
      <c r="H72" s="203" t="s">
        <v>18</v>
      </c>
      <c r="I72" s="203" t="s">
        <v>19</v>
      </c>
      <c r="J72" s="55"/>
    </row>
    <row r="73" spans="1:16" s="249" customFormat="1" ht="13.5" customHeight="1" x14ac:dyDescent="0.25">
      <c r="A73" s="219" t="s">
        <v>2</v>
      </c>
      <c r="B73" s="367" t="s">
        <v>59</v>
      </c>
      <c r="C73" s="367"/>
      <c r="D73" s="367"/>
      <c r="E73" s="367"/>
      <c r="F73" s="367"/>
      <c r="G73" s="367"/>
      <c r="H73" s="250">
        <f>0.05*(1/12)/30*3</f>
        <v>4.1666666666666664E-4</v>
      </c>
      <c r="I73" s="220">
        <f t="shared" ref="I73:I78" si="1">$I$35*H73</f>
        <v>0.74661119487499983</v>
      </c>
      <c r="J73" s="247"/>
      <c r="K73" s="248"/>
      <c r="L73" s="248"/>
      <c r="M73" s="248"/>
      <c r="N73" s="248"/>
      <c r="O73" s="248"/>
      <c r="P73" s="248"/>
    </row>
    <row r="74" spans="1:16" s="83" customFormat="1" ht="13.5" customHeight="1" x14ac:dyDescent="0.25">
      <c r="A74" s="201" t="s">
        <v>4</v>
      </c>
      <c r="B74" s="364" t="s">
        <v>60</v>
      </c>
      <c r="C74" s="364"/>
      <c r="D74" s="364"/>
      <c r="E74" s="364"/>
      <c r="F74" s="364"/>
      <c r="G74" s="364"/>
      <c r="H74" s="84">
        <f>H51*H73</f>
        <v>3.3333333333333335E-5</v>
      </c>
      <c r="I74" s="81">
        <f t="shared" si="1"/>
        <v>5.9728895589999997E-2</v>
      </c>
      <c r="J74" s="82"/>
      <c r="K74" s="21"/>
      <c r="L74" s="21"/>
      <c r="M74" s="21"/>
      <c r="N74" s="21"/>
      <c r="O74" s="21"/>
      <c r="P74" s="21"/>
    </row>
    <row r="75" spans="1:16" s="83" customFormat="1" ht="13.5" customHeight="1" x14ac:dyDescent="0.25">
      <c r="A75" s="201" t="s">
        <v>6</v>
      </c>
      <c r="B75" s="364" t="s">
        <v>61</v>
      </c>
      <c r="C75" s="364"/>
      <c r="D75" s="364"/>
      <c r="E75" s="364"/>
      <c r="F75" s="364"/>
      <c r="G75" s="364"/>
      <c r="H75" s="84">
        <f>40%*H51*5%</f>
        <v>1.6000000000000001E-3</v>
      </c>
      <c r="I75" s="81">
        <f t="shared" si="1"/>
        <v>2.8669869883199999</v>
      </c>
      <c r="J75" s="82"/>
      <c r="K75" s="21"/>
      <c r="L75" s="21"/>
      <c r="M75" s="21"/>
      <c r="N75" s="21"/>
      <c r="O75" s="21"/>
      <c r="P75" s="21"/>
    </row>
    <row r="76" spans="1:16" s="249" customFormat="1" ht="13.5" customHeight="1" x14ac:dyDescent="0.25">
      <c r="A76" s="219" t="s">
        <v>8</v>
      </c>
      <c r="B76" s="367" t="s">
        <v>62</v>
      </c>
      <c r="C76" s="367"/>
      <c r="D76" s="367"/>
      <c r="E76" s="367"/>
      <c r="F76" s="367"/>
      <c r="G76" s="367"/>
      <c r="H76" s="246">
        <f>(1/30)*7/12*100%/30*3</f>
        <v>1.9444444444444444E-3</v>
      </c>
      <c r="I76" s="220">
        <f t="shared" si="1"/>
        <v>3.4841855760833327</v>
      </c>
      <c r="J76" s="247"/>
      <c r="K76" s="248"/>
      <c r="L76" s="248"/>
      <c r="M76" s="248"/>
      <c r="N76" s="248"/>
      <c r="O76" s="248"/>
      <c r="P76" s="248"/>
    </row>
    <row r="77" spans="1:16" s="83" customFormat="1" ht="13.5" customHeight="1" x14ac:dyDescent="0.25">
      <c r="A77" s="201" t="s">
        <v>24</v>
      </c>
      <c r="B77" s="364" t="s">
        <v>63</v>
      </c>
      <c r="C77" s="364"/>
      <c r="D77" s="364"/>
      <c r="E77" s="364"/>
      <c r="F77" s="364"/>
      <c r="G77" s="364"/>
      <c r="H77" s="85">
        <f>H52*H76</f>
        <v>6.9766666666666675E-4</v>
      </c>
      <c r="I77" s="81">
        <f t="shared" si="1"/>
        <v>1.2501257846986999</v>
      </c>
      <c r="J77" s="82"/>
      <c r="K77" s="21"/>
      <c r="L77" s="21"/>
      <c r="M77" s="21"/>
      <c r="N77" s="21"/>
      <c r="O77" s="21"/>
      <c r="P77" s="21"/>
    </row>
    <row r="78" spans="1:16" s="83" customFormat="1" ht="13.5" customHeight="1" x14ac:dyDescent="0.25">
      <c r="A78" s="201" t="s">
        <v>26</v>
      </c>
      <c r="B78" s="364" t="s">
        <v>64</v>
      </c>
      <c r="C78" s="364"/>
      <c r="D78" s="364"/>
      <c r="E78" s="364"/>
      <c r="F78" s="364"/>
      <c r="G78" s="364"/>
      <c r="H78" s="80">
        <f>40%*H51*95%</f>
        <v>3.04E-2</v>
      </c>
      <c r="I78" s="81">
        <f t="shared" si="1"/>
        <v>54.472752778079993</v>
      </c>
      <c r="J78" s="82"/>
      <c r="K78" s="129"/>
      <c r="L78" s="21"/>
      <c r="M78" s="21"/>
      <c r="N78" s="21"/>
      <c r="O78" s="21"/>
      <c r="P78" s="21"/>
    </row>
    <row r="79" spans="1:16" ht="13.5" customHeight="1" x14ac:dyDescent="0.25">
      <c r="A79" s="336" t="s">
        <v>65</v>
      </c>
      <c r="B79" s="337"/>
      <c r="C79" s="337"/>
      <c r="D79" s="337"/>
      <c r="E79" s="337"/>
      <c r="F79" s="337"/>
      <c r="G79" s="338"/>
      <c r="H79" s="63">
        <f>SUM(H73:H78)</f>
        <v>3.5092111111111109E-2</v>
      </c>
      <c r="I79" s="60">
        <f>SUM(I73:I78)</f>
        <v>62.880391217647023</v>
      </c>
      <c r="J79" s="61"/>
    </row>
    <row r="80" spans="1:16" x14ac:dyDescent="0.25">
      <c r="A80" s="141"/>
      <c r="B80" s="365"/>
      <c r="C80" s="365"/>
      <c r="D80" s="365"/>
      <c r="E80" s="365"/>
      <c r="F80" s="365"/>
      <c r="G80" s="365"/>
      <c r="H80" s="365"/>
      <c r="I80" s="144"/>
      <c r="J80" s="144"/>
    </row>
    <row r="81" spans="1:16" ht="13.5" customHeight="1" x14ac:dyDescent="0.25">
      <c r="A81" s="347" t="s">
        <v>126</v>
      </c>
      <c r="B81" s="347"/>
      <c r="C81" s="347"/>
      <c r="D81" s="347"/>
      <c r="E81" s="347"/>
      <c r="F81" s="347"/>
      <c r="G81" s="347"/>
      <c r="H81" s="347"/>
      <c r="I81" s="347"/>
      <c r="J81" s="54"/>
    </row>
    <row r="82" spans="1:16" ht="13.5" customHeight="1" x14ac:dyDescent="0.25">
      <c r="A82" s="142" t="s">
        <v>66</v>
      </c>
      <c r="B82" s="359" t="s">
        <v>67</v>
      </c>
      <c r="C82" s="359"/>
      <c r="D82" s="359"/>
      <c r="E82" s="359"/>
      <c r="F82" s="359"/>
      <c r="G82" s="359"/>
      <c r="H82" s="142" t="s">
        <v>18</v>
      </c>
      <c r="I82" s="142" t="s">
        <v>19</v>
      </c>
      <c r="J82" s="55"/>
    </row>
    <row r="83" spans="1:16" ht="13.5" customHeight="1" x14ac:dyDescent="0.25">
      <c r="A83" s="137" t="s">
        <v>2</v>
      </c>
      <c r="B83" s="334" t="s">
        <v>68</v>
      </c>
      <c r="C83" s="334"/>
      <c r="D83" s="334"/>
      <c r="E83" s="334"/>
      <c r="F83" s="334"/>
      <c r="G83" s="334"/>
      <c r="H83" s="86">
        <f>(( 1+1/3)/12)/12</f>
        <v>9.2592592592592587E-3</v>
      </c>
      <c r="I83" s="56">
        <f>SUM($I$35,$I$69,$I$79)*H83</f>
        <v>33.193335436357501</v>
      </c>
      <c r="J83" s="57"/>
    </row>
    <row r="84" spans="1:16" s="223" customFormat="1" ht="13.5" customHeight="1" x14ac:dyDescent="0.25">
      <c r="A84" s="219" t="s">
        <v>4</v>
      </c>
      <c r="B84" s="355" t="s">
        <v>69</v>
      </c>
      <c r="C84" s="355"/>
      <c r="D84" s="355"/>
      <c r="E84" s="355"/>
      <c r="F84" s="355"/>
      <c r="G84" s="355"/>
      <c r="H84" s="250">
        <v>0</v>
      </c>
      <c r="I84" s="220">
        <f>SUM($I$35,$I$69,$I$79)*H84</f>
        <v>0</v>
      </c>
      <c r="J84" s="221"/>
      <c r="K84" s="222"/>
      <c r="L84" s="222"/>
      <c r="M84" s="222"/>
      <c r="N84" s="222"/>
      <c r="O84" s="222"/>
      <c r="P84" s="222"/>
    </row>
    <row r="85" spans="1:16" s="223" customFormat="1" ht="13.5" customHeight="1" x14ac:dyDescent="0.25">
      <c r="A85" s="219" t="s">
        <v>6</v>
      </c>
      <c r="B85" s="355" t="s">
        <v>70</v>
      </c>
      <c r="C85" s="355"/>
      <c r="D85" s="355"/>
      <c r="E85" s="355"/>
      <c r="F85" s="355"/>
      <c r="G85" s="355"/>
      <c r="H85" s="250">
        <v>0</v>
      </c>
      <c r="I85" s="220">
        <f>SUM($I$35,$I$69,$I$79)*H85</f>
        <v>0</v>
      </c>
      <c r="J85" s="221"/>
      <c r="K85" s="222"/>
      <c r="L85" s="222"/>
      <c r="M85" s="222"/>
      <c r="N85" s="222"/>
      <c r="O85" s="222"/>
      <c r="P85" s="222"/>
    </row>
    <row r="86" spans="1:16" s="223" customFormat="1" ht="13.5" customHeight="1" x14ac:dyDescent="0.25">
      <c r="A86" s="219" t="s">
        <v>8</v>
      </c>
      <c r="B86" s="355" t="s">
        <v>71</v>
      </c>
      <c r="C86" s="355"/>
      <c r="D86" s="355"/>
      <c r="E86" s="355"/>
      <c r="F86" s="355"/>
      <c r="G86" s="355"/>
      <c r="H86" s="250">
        <v>0</v>
      </c>
      <c r="I86" s="220">
        <f>SUM($I$35,$I$69,$I$79)*H86</f>
        <v>0</v>
      </c>
      <c r="J86" s="221"/>
      <c r="K86" s="222"/>
      <c r="L86" s="222"/>
      <c r="M86" s="222"/>
      <c r="N86" s="222"/>
      <c r="O86" s="222"/>
      <c r="P86" s="222"/>
    </row>
    <row r="87" spans="1:16" s="223" customFormat="1" ht="13.5" customHeight="1" x14ac:dyDescent="0.25">
      <c r="A87" s="219" t="s">
        <v>24</v>
      </c>
      <c r="B87" s="355" t="s">
        <v>72</v>
      </c>
      <c r="C87" s="355"/>
      <c r="D87" s="355"/>
      <c r="E87" s="355"/>
      <c r="F87" s="355"/>
      <c r="G87" s="355"/>
      <c r="H87" s="250">
        <v>0</v>
      </c>
      <c r="I87" s="220">
        <f>SUM($I$35,$I$69,$I$79)*H87</f>
        <v>0</v>
      </c>
      <c r="J87" s="221"/>
      <c r="K87" s="222"/>
      <c r="L87" s="222"/>
      <c r="M87" s="222"/>
      <c r="N87" s="222"/>
      <c r="O87" s="222"/>
      <c r="P87" s="222"/>
    </row>
    <row r="88" spans="1:16" s="223" customFormat="1" ht="13.5" customHeight="1" x14ac:dyDescent="0.25">
      <c r="A88" s="219" t="s">
        <v>26</v>
      </c>
      <c r="B88" s="355" t="s">
        <v>134</v>
      </c>
      <c r="C88" s="355"/>
      <c r="D88" s="355"/>
      <c r="E88" s="355"/>
      <c r="F88" s="355"/>
      <c r="G88" s="355"/>
      <c r="H88" s="246">
        <v>0</v>
      </c>
      <c r="I88" s="220">
        <f t="shared" ref="I88" si="2">SUM($I$35,$I$69,$I$79)*H88</f>
        <v>0</v>
      </c>
      <c r="J88" s="221"/>
      <c r="K88" s="222"/>
      <c r="L88" s="222"/>
      <c r="M88" s="222"/>
      <c r="N88" s="222"/>
      <c r="O88" s="222"/>
      <c r="P88" s="222"/>
    </row>
    <row r="89" spans="1:16" ht="13.5" customHeight="1" x14ac:dyDescent="0.25">
      <c r="A89" s="87"/>
      <c r="B89" s="359" t="s">
        <v>73</v>
      </c>
      <c r="C89" s="359"/>
      <c r="D89" s="359"/>
      <c r="E89" s="359"/>
      <c r="F89" s="359"/>
      <c r="G89" s="359"/>
      <c r="H89" s="88">
        <f>SUM(H83:H88)</f>
        <v>9.2592592592592587E-3</v>
      </c>
      <c r="I89" s="64">
        <f>SUM(I83:I88)</f>
        <v>33.193335436357501</v>
      </c>
      <c r="J89" s="65"/>
      <c r="K89" s="31"/>
      <c r="L89" s="33"/>
      <c r="M89" s="34"/>
    </row>
    <row r="90" spans="1:16" ht="5.25" customHeight="1" x14ac:dyDescent="0.25">
      <c r="A90" s="89"/>
      <c r="B90" s="329"/>
      <c r="C90" s="329"/>
      <c r="D90" s="329"/>
      <c r="E90" s="329"/>
      <c r="F90" s="329"/>
      <c r="G90" s="330"/>
      <c r="H90" s="330"/>
      <c r="I90" s="72"/>
      <c r="J90" s="72"/>
    </row>
    <row r="91" spans="1:16" ht="13.5" customHeight="1" x14ac:dyDescent="0.25">
      <c r="A91" s="142" t="s">
        <v>74</v>
      </c>
      <c r="B91" s="360" t="s">
        <v>75</v>
      </c>
      <c r="C91" s="361"/>
      <c r="D91" s="361"/>
      <c r="E91" s="361"/>
      <c r="F91" s="361"/>
      <c r="G91" s="361"/>
      <c r="H91" s="362"/>
      <c r="I91" s="142" t="s">
        <v>19</v>
      </c>
      <c r="J91" s="55"/>
    </row>
    <row r="92" spans="1:16" ht="13.5" customHeight="1" x14ac:dyDescent="0.25">
      <c r="A92" s="137" t="s">
        <v>2</v>
      </c>
      <c r="B92" s="339" t="s">
        <v>208</v>
      </c>
      <c r="C92" s="340"/>
      <c r="D92" s="340"/>
      <c r="E92" s="340"/>
      <c r="F92" s="340"/>
      <c r="G92" s="340"/>
      <c r="H92" s="363"/>
      <c r="I92" s="90">
        <v>0</v>
      </c>
      <c r="J92" s="91"/>
    </row>
    <row r="93" spans="1:16" ht="13.5" customHeight="1" x14ac:dyDescent="0.25">
      <c r="A93" s="87"/>
      <c r="B93" s="336" t="s">
        <v>76</v>
      </c>
      <c r="C93" s="337"/>
      <c r="D93" s="337"/>
      <c r="E93" s="337"/>
      <c r="F93" s="337"/>
      <c r="G93" s="337"/>
      <c r="H93" s="338"/>
      <c r="I93" s="64">
        <f>SUM(I92)</f>
        <v>0</v>
      </c>
      <c r="J93" s="65"/>
    </row>
    <row r="94" spans="1:16" x14ac:dyDescent="0.25">
      <c r="A94" s="89"/>
      <c r="B94" s="329"/>
      <c r="C94" s="329"/>
      <c r="D94" s="329"/>
      <c r="E94" s="329"/>
      <c r="F94" s="329"/>
      <c r="G94" s="330"/>
      <c r="H94" s="330"/>
      <c r="I94" s="72"/>
      <c r="J94" s="72"/>
    </row>
    <row r="95" spans="1:16" ht="13.5" customHeight="1" x14ac:dyDescent="0.25">
      <c r="A95" s="356" t="s">
        <v>77</v>
      </c>
      <c r="B95" s="356"/>
      <c r="C95" s="356"/>
      <c r="D95" s="356"/>
      <c r="E95" s="356"/>
      <c r="F95" s="356"/>
      <c r="G95" s="356"/>
      <c r="H95" s="356"/>
      <c r="I95" s="356"/>
      <c r="J95" s="49"/>
    </row>
    <row r="96" spans="1:16" ht="13.5" customHeight="1" x14ac:dyDescent="0.25">
      <c r="A96" s="79" t="s">
        <v>66</v>
      </c>
      <c r="B96" s="357" t="s">
        <v>69</v>
      </c>
      <c r="C96" s="357"/>
      <c r="D96" s="357"/>
      <c r="E96" s="357"/>
      <c r="F96" s="357"/>
      <c r="G96" s="357"/>
      <c r="H96" s="357"/>
      <c r="I96" s="56">
        <f>I89</f>
        <v>33.193335436357501</v>
      </c>
      <c r="J96" s="57"/>
    </row>
    <row r="97" spans="1:16" ht="13.5" customHeight="1" x14ac:dyDescent="0.25">
      <c r="A97" s="79" t="s">
        <v>74</v>
      </c>
      <c r="B97" s="358" t="s">
        <v>78</v>
      </c>
      <c r="C97" s="358"/>
      <c r="D97" s="358"/>
      <c r="E97" s="358"/>
      <c r="F97" s="358"/>
      <c r="G97" s="358"/>
      <c r="H97" s="358"/>
      <c r="I97" s="56">
        <f>I93</f>
        <v>0</v>
      </c>
      <c r="J97" s="57"/>
    </row>
    <row r="98" spans="1:16" ht="13.5" customHeight="1" x14ac:dyDescent="0.25">
      <c r="A98" s="335" t="s">
        <v>79</v>
      </c>
      <c r="B98" s="335"/>
      <c r="C98" s="335"/>
      <c r="D98" s="335"/>
      <c r="E98" s="335"/>
      <c r="F98" s="335"/>
      <c r="G98" s="335"/>
      <c r="H98" s="335"/>
      <c r="I98" s="60">
        <f>SUM(I96:I97)</f>
        <v>33.193335436357501</v>
      </c>
      <c r="J98" s="61"/>
    </row>
    <row r="99" spans="1:16" x14ac:dyDescent="0.25">
      <c r="A99" s="89"/>
      <c r="B99" s="329"/>
      <c r="C99" s="329"/>
      <c r="D99" s="329"/>
      <c r="E99" s="329"/>
      <c r="F99" s="329"/>
      <c r="G99" s="330"/>
      <c r="H99" s="330"/>
      <c r="I99" s="72"/>
      <c r="J99" s="72"/>
    </row>
    <row r="100" spans="1:16" ht="13.5" customHeight="1" x14ac:dyDescent="0.25">
      <c r="A100" s="347" t="s">
        <v>128</v>
      </c>
      <c r="B100" s="347"/>
      <c r="C100" s="347"/>
      <c r="D100" s="347"/>
      <c r="E100" s="347"/>
      <c r="F100" s="347"/>
      <c r="G100" s="347"/>
      <c r="H100" s="347"/>
      <c r="I100" s="347"/>
      <c r="J100" s="54"/>
    </row>
    <row r="101" spans="1:16" ht="13.5" customHeight="1" x14ac:dyDescent="0.25">
      <c r="A101" s="142">
        <v>5</v>
      </c>
      <c r="B101" s="335" t="s">
        <v>80</v>
      </c>
      <c r="C101" s="335"/>
      <c r="D101" s="335"/>
      <c r="E101" s="335"/>
      <c r="F101" s="335"/>
      <c r="G101" s="335"/>
      <c r="H101" s="335"/>
      <c r="I101" s="142" t="s">
        <v>19</v>
      </c>
      <c r="J101" s="55"/>
    </row>
    <row r="102" spans="1:16" ht="13.5" customHeight="1" x14ac:dyDescent="0.25">
      <c r="A102" s="137" t="s">
        <v>2</v>
      </c>
      <c r="B102" s="349" t="s">
        <v>142</v>
      </c>
      <c r="C102" s="349"/>
      <c r="D102" s="349"/>
      <c r="E102" s="349"/>
      <c r="F102" s="349"/>
      <c r="G102" s="349"/>
      <c r="H102" s="349"/>
      <c r="I102" s="92">
        <f>UNIF!G20</f>
        <v>30.504843490153849</v>
      </c>
      <c r="J102" s="93"/>
    </row>
    <row r="103" spans="1:16" ht="13.5" customHeight="1" x14ac:dyDescent="0.25">
      <c r="A103" s="137" t="s">
        <v>4</v>
      </c>
      <c r="B103" s="349" t="s">
        <v>81</v>
      </c>
      <c r="C103" s="349"/>
      <c r="D103" s="349"/>
      <c r="E103" s="349"/>
      <c r="F103" s="349"/>
      <c r="G103" s="349"/>
      <c r="H103" s="349"/>
      <c r="I103" s="92">
        <v>0</v>
      </c>
      <c r="J103" s="93"/>
    </row>
    <row r="104" spans="1:16" ht="13.5" customHeight="1" x14ac:dyDescent="0.25">
      <c r="A104" s="137" t="s">
        <v>6</v>
      </c>
      <c r="B104" s="349" t="s">
        <v>206</v>
      </c>
      <c r="C104" s="349"/>
      <c r="D104" s="349"/>
      <c r="E104" s="349"/>
      <c r="F104" s="349"/>
      <c r="G104" s="349"/>
      <c r="H104" s="349"/>
      <c r="I104" s="92">
        <f>UNIF!G29</f>
        <v>10.846166574276925</v>
      </c>
      <c r="J104" s="93"/>
    </row>
    <row r="105" spans="1:16" s="78" customFormat="1" ht="13.5" customHeight="1" x14ac:dyDescent="0.25">
      <c r="A105" s="146" t="s">
        <v>8</v>
      </c>
      <c r="B105" s="350" t="s">
        <v>132</v>
      </c>
      <c r="C105" s="351"/>
      <c r="D105" s="351"/>
      <c r="E105" s="351"/>
      <c r="F105" s="351"/>
      <c r="G105" s="351"/>
      <c r="H105" s="352"/>
      <c r="I105" s="76">
        <v>0</v>
      </c>
      <c r="J105" s="77"/>
      <c r="K105" s="32"/>
      <c r="L105" s="32"/>
      <c r="M105" s="32"/>
      <c r="N105" s="32"/>
      <c r="O105" s="32"/>
      <c r="P105" s="32"/>
    </row>
    <row r="106" spans="1:16" ht="13.5" customHeight="1" x14ac:dyDescent="0.25">
      <c r="A106" s="335" t="s">
        <v>82</v>
      </c>
      <c r="B106" s="335"/>
      <c r="C106" s="335"/>
      <c r="D106" s="335"/>
      <c r="E106" s="335"/>
      <c r="F106" s="335"/>
      <c r="G106" s="335"/>
      <c r="H106" s="335"/>
      <c r="I106" s="60">
        <f>SUM(I102:I105)</f>
        <v>41.351010064430774</v>
      </c>
      <c r="J106" s="61"/>
    </row>
    <row r="107" spans="1:16" x14ac:dyDescent="0.25">
      <c r="A107" s="353"/>
      <c r="B107" s="353"/>
      <c r="C107" s="353"/>
      <c r="D107" s="353"/>
      <c r="E107" s="353"/>
      <c r="F107" s="353"/>
      <c r="G107" s="354"/>
      <c r="H107" s="354"/>
      <c r="I107" s="66"/>
      <c r="J107" s="66"/>
    </row>
    <row r="108" spans="1:16" ht="13.5" customHeight="1" x14ac:dyDescent="0.25">
      <c r="A108" s="347" t="s">
        <v>129</v>
      </c>
      <c r="B108" s="347"/>
      <c r="C108" s="347"/>
      <c r="D108" s="347"/>
      <c r="E108" s="347"/>
      <c r="F108" s="347"/>
      <c r="G108" s="347"/>
      <c r="H108" s="347"/>
      <c r="I108" s="347"/>
      <c r="J108" s="54"/>
    </row>
    <row r="109" spans="1:16" ht="13.5" customHeight="1" x14ac:dyDescent="0.25">
      <c r="A109" s="142">
        <v>6</v>
      </c>
      <c r="B109" s="335" t="s">
        <v>83</v>
      </c>
      <c r="C109" s="335"/>
      <c r="D109" s="335"/>
      <c r="E109" s="335"/>
      <c r="F109" s="335"/>
      <c r="G109" s="335"/>
      <c r="H109" s="142" t="s">
        <v>18</v>
      </c>
      <c r="I109" s="142" t="s">
        <v>19</v>
      </c>
      <c r="J109" s="55"/>
    </row>
    <row r="110" spans="1:16" s="83" customFormat="1" ht="13.5" customHeight="1" x14ac:dyDescent="0.25">
      <c r="A110" s="145" t="s">
        <v>2</v>
      </c>
      <c r="B110" s="348" t="s">
        <v>84</v>
      </c>
      <c r="C110" s="348"/>
      <c r="D110" s="348"/>
      <c r="E110" s="348"/>
      <c r="F110" s="348"/>
      <c r="G110" s="348"/>
      <c r="H110" s="94">
        <v>1.4999999999999999E-2</v>
      </c>
      <c r="I110" s="95">
        <f>SUM($I$129)*H110</f>
        <v>54.891383589410978</v>
      </c>
      <c r="J110" s="96"/>
      <c r="K110" s="178" t="s">
        <v>312</v>
      </c>
      <c r="L110" s="180">
        <v>3161.89</v>
      </c>
      <c r="M110" s="180"/>
      <c r="N110" s="21"/>
      <c r="O110" s="21"/>
      <c r="P110" s="21"/>
    </row>
    <row r="111" spans="1:16" s="83" customFormat="1" ht="13.5" customHeight="1" x14ac:dyDescent="0.25">
      <c r="A111" s="145" t="s">
        <v>4</v>
      </c>
      <c r="B111" s="348" t="s">
        <v>85</v>
      </c>
      <c r="C111" s="348"/>
      <c r="D111" s="348"/>
      <c r="E111" s="348"/>
      <c r="F111" s="348"/>
      <c r="G111" s="348"/>
      <c r="H111" s="94">
        <v>1.3372999999999999E-2</v>
      </c>
      <c r="I111" s="95">
        <f>SUM($I$129,I110)*H111</f>
        <v>49.67156065548739</v>
      </c>
      <c r="J111" s="96"/>
      <c r="K111" s="178" t="s">
        <v>313</v>
      </c>
      <c r="L111" s="180">
        <f>PROPOSTA!I41</f>
        <v>8051.82</v>
      </c>
      <c r="M111" s="180"/>
      <c r="N111" s="21"/>
      <c r="O111" s="21"/>
      <c r="P111" s="21"/>
    </row>
    <row r="112" spans="1:16" ht="13.5" customHeight="1" x14ac:dyDescent="0.25">
      <c r="A112" s="137"/>
      <c r="B112" s="342"/>
      <c r="C112" s="342"/>
      <c r="D112" s="342"/>
      <c r="E112" s="343" t="s">
        <v>86</v>
      </c>
      <c r="F112" s="343"/>
      <c r="G112" s="343"/>
      <c r="H112" s="343"/>
      <c r="I112" s="97"/>
      <c r="J112" s="98"/>
      <c r="L112" s="181">
        <f>L110-L111</f>
        <v>-4889.93</v>
      </c>
      <c r="M112" s="181"/>
    </row>
    <row r="113" spans="1:10" ht="13.5" customHeight="1" x14ac:dyDescent="0.25">
      <c r="A113" s="137" t="s">
        <v>6</v>
      </c>
      <c r="B113" s="344" t="s">
        <v>87</v>
      </c>
      <c r="C113" s="344"/>
      <c r="D113" s="344"/>
      <c r="E113" s="345">
        <f>SUM(H115,H116,H119)</f>
        <v>6.5060000000000007E-2</v>
      </c>
      <c r="F113" s="346"/>
      <c r="G113" s="345">
        <f>1-((H115+H116+H119))</f>
        <v>0.93493999999999999</v>
      </c>
      <c r="H113" s="346"/>
      <c r="I113" s="99"/>
      <c r="J113" s="100"/>
    </row>
    <row r="114" spans="1:10" ht="13.5" customHeight="1" x14ac:dyDescent="0.25">
      <c r="A114" s="137" t="s">
        <v>88</v>
      </c>
      <c r="B114" s="339" t="s">
        <v>89</v>
      </c>
      <c r="C114" s="340"/>
      <c r="D114" s="340"/>
      <c r="E114" s="340"/>
      <c r="F114" s="340"/>
      <c r="G114" s="340"/>
      <c r="H114" s="340"/>
      <c r="I114" s="101"/>
      <c r="J114" s="102"/>
    </row>
    <row r="115" spans="1:10" ht="13.5" customHeight="1" x14ac:dyDescent="0.25">
      <c r="A115" s="103" t="s">
        <v>90</v>
      </c>
      <c r="B115" s="341" t="s">
        <v>91</v>
      </c>
      <c r="C115" s="341"/>
      <c r="D115" s="341"/>
      <c r="E115" s="341"/>
      <c r="F115" s="341"/>
      <c r="G115" s="341"/>
      <c r="H115" s="104">
        <v>2.6800000000000001E-3</v>
      </c>
      <c r="I115" s="97">
        <f>SUM($I$129,$I$110,$I$111)*H115/(1-$E$113)</f>
        <v>10.789450900825461</v>
      </c>
      <c r="J115" s="98"/>
    </row>
    <row r="116" spans="1:10" ht="13.5" customHeight="1" x14ac:dyDescent="0.25">
      <c r="A116" s="103" t="s">
        <v>92</v>
      </c>
      <c r="B116" s="341" t="s">
        <v>93</v>
      </c>
      <c r="C116" s="341"/>
      <c r="D116" s="341"/>
      <c r="E116" s="341"/>
      <c r="F116" s="341"/>
      <c r="G116" s="341"/>
      <c r="H116" s="104">
        <v>1.238E-2</v>
      </c>
      <c r="I116" s="97">
        <f>SUM($I$129,$I$110,$I$111)*H116/(1-$E$113)</f>
        <v>49.840821698589259</v>
      </c>
      <c r="J116" s="98"/>
    </row>
    <row r="117" spans="1:10" ht="13.5" customHeight="1" x14ac:dyDescent="0.25">
      <c r="A117" s="137" t="s">
        <v>94</v>
      </c>
      <c r="B117" s="339" t="s">
        <v>95</v>
      </c>
      <c r="C117" s="340"/>
      <c r="D117" s="340"/>
      <c r="E117" s="340"/>
      <c r="F117" s="340"/>
      <c r="G117" s="340"/>
      <c r="H117" s="340"/>
      <c r="I117" s="101"/>
      <c r="J117" s="102"/>
    </row>
    <row r="118" spans="1:10" ht="13.5" customHeight="1" x14ac:dyDescent="0.25">
      <c r="A118" s="137" t="s">
        <v>96</v>
      </c>
      <c r="B118" s="339" t="s">
        <v>97</v>
      </c>
      <c r="C118" s="340"/>
      <c r="D118" s="340"/>
      <c r="E118" s="340"/>
      <c r="F118" s="340"/>
      <c r="G118" s="340"/>
      <c r="H118" s="340"/>
      <c r="I118" s="101"/>
      <c r="J118" s="102"/>
    </row>
    <row r="119" spans="1:10" ht="13.5" customHeight="1" x14ac:dyDescent="0.25">
      <c r="A119" s="103" t="s">
        <v>98</v>
      </c>
      <c r="B119" s="341" t="s">
        <v>99</v>
      </c>
      <c r="C119" s="341"/>
      <c r="D119" s="341"/>
      <c r="E119" s="341"/>
      <c r="F119" s="341"/>
      <c r="G119" s="341"/>
      <c r="H119" s="105">
        <v>0.05</v>
      </c>
      <c r="I119" s="97">
        <f>SUM($I$129,$I$110,$I$111)*H119/(1-$E$113)</f>
        <v>201.29572576166908</v>
      </c>
      <c r="J119" s="98"/>
    </row>
    <row r="120" spans="1:10" ht="13.5" customHeight="1" x14ac:dyDescent="0.25">
      <c r="A120" s="335" t="s">
        <v>100</v>
      </c>
      <c r="B120" s="335"/>
      <c r="C120" s="335"/>
      <c r="D120" s="335"/>
      <c r="E120" s="335"/>
      <c r="F120" s="335"/>
      <c r="G120" s="335"/>
      <c r="H120" s="335"/>
      <c r="I120" s="60">
        <f>SUM(I110:I119)</f>
        <v>366.48894260598217</v>
      </c>
      <c r="J120" s="61"/>
    </row>
    <row r="121" spans="1:10" x14ac:dyDescent="0.25">
      <c r="A121" s="89"/>
      <c r="B121" s="329"/>
      <c r="C121" s="329"/>
      <c r="D121" s="329"/>
      <c r="E121" s="329"/>
      <c r="F121" s="329"/>
      <c r="G121" s="330"/>
      <c r="H121" s="330"/>
      <c r="I121" s="72"/>
      <c r="J121" s="72"/>
    </row>
    <row r="122" spans="1:10" ht="13.5" customHeight="1" x14ac:dyDescent="0.25">
      <c r="A122" s="325" t="s">
        <v>101</v>
      </c>
      <c r="B122" s="325"/>
      <c r="C122" s="325"/>
      <c r="D122" s="325"/>
      <c r="E122" s="325"/>
      <c r="F122" s="325"/>
      <c r="G122" s="325"/>
      <c r="H122" s="325"/>
      <c r="I122" s="325"/>
      <c r="J122" s="106"/>
    </row>
    <row r="123" spans="1:10" ht="13.5" customHeight="1" x14ac:dyDescent="0.25">
      <c r="A123" s="142"/>
      <c r="B123" s="336" t="s">
        <v>102</v>
      </c>
      <c r="C123" s="337"/>
      <c r="D123" s="337"/>
      <c r="E123" s="337"/>
      <c r="F123" s="337"/>
      <c r="G123" s="337"/>
      <c r="H123" s="338"/>
      <c r="I123" s="142" t="s">
        <v>19</v>
      </c>
      <c r="J123" s="55"/>
    </row>
    <row r="124" spans="1:10" ht="13.5" customHeight="1" x14ac:dyDescent="0.25">
      <c r="A124" s="137" t="s">
        <v>2</v>
      </c>
      <c r="B124" s="333" t="s">
        <v>103</v>
      </c>
      <c r="C124" s="333"/>
      <c r="D124" s="333"/>
      <c r="E124" s="333"/>
      <c r="F124" s="333"/>
      <c r="G124" s="333"/>
      <c r="H124" s="333"/>
      <c r="I124" s="56">
        <f>I35</f>
        <v>1791.8668676999998</v>
      </c>
      <c r="J124" s="57"/>
    </row>
    <row r="125" spans="1:10" ht="13.5" customHeight="1" x14ac:dyDescent="0.25">
      <c r="A125" s="137" t="s">
        <v>4</v>
      </c>
      <c r="B125" s="333" t="s">
        <v>104</v>
      </c>
      <c r="C125" s="333"/>
      <c r="D125" s="333"/>
      <c r="E125" s="333"/>
      <c r="F125" s="333"/>
      <c r="G125" s="333"/>
      <c r="H125" s="333"/>
      <c r="I125" s="56">
        <f>I69</f>
        <v>1730.1329682089633</v>
      </c>
      <c r="J125" s="57"/>
    </row>
    <row r="126" spans="1:10" ht="13.5" customHeight="1" x14ac:dyDescent="0.25">
      <c r="A126" s="137" t="s">
        <v>6</v>
      </c>
      <c r="B126" s="333" t="s">
        <v>105</v>
      </c>
      <c r="C126" s="333"/>
      <c r="D126" s="333"/>
      <c r="E126" s="333"/>
      <c r="F126" s="333"/>
      <c r="G126" s="333"/>
      <c r="H126" s="333"/>
      <c r="I126" s="56">
        <f>I79</f>
        <v>62.880391217647023</v>
      </c>
      <c r="J126" s="57"/>
    </row>
    <row r="127" spans="1:10" ht="13.5" customHeight="1" x14ac:dyDescent="0.25">
      <c r="A127" s="137" t="s">
        <v>8</v>
      </c>
      <c r="B127" s="333" t="s">
        <v>106</v>
      </c>
      <c r="C127" s="333"/>
      <c r="D127" s="333"/>
      <c r="E127" s="333"/>
      <c r="F127" s="333"/>
      <c r="G127" s="333"/>
      <c r="H127" s="333"/>
      <c r="I127" s="56">
        <f>I98</f>
        <v>33.193335436357501</v>
      </c>
      <c r="J127" s="57"/>
    </row>
    <row r="128" spans="1:10" ht="13.5" customHeight="1" x14ac:dyDescent="0.25">
      <c r="A128" s="137" t="s">
        <v>24</v>
      </c>
      <c r="B128" s="333" t="s">
        <v>107</v>
      </c>
      <c r="C128" s="333"/>
      <c r="D128" s="333"/>
      <c r="E128" s="333"/>
      <c r="F128" s="333"/>
      <c r="G128" s="333"/>
      <c r="H128" s="333"/>
      <c r="I128" s="56">
        <f>I106</f>
        <v>41.351010064430774</v>
      </c>
      <c r="J128" s="57"/>
    </row>
    <row r="129" spans="1:12" ht="13.5" customHeight="1" x14ac:dyDescent="0.25">
      <c r="A129" s="328" t="s">
        <v>108</v>
      </c>
      <c r="B129" s="328"/>
      <c r="C129" s="328"/>
      <c r="D129" s="328"/>
      <c r="E129" s="328"/>
      <c r="F129" s="328"/>
      <c r="G129" s="328"/>
      <c r="H129" s="328"/>
      <c r="I129" s="107">
        <f>SUM(I124:I128)+0.001</f>
        <v>3659.4255726273987</v>
      </c>
      <c r="J129" s="108"/>
    </row>
    <row r="130" spans="1:12" ht="13.5" customHeight="1" x14ac:dyDescent="0.25">
      <c r="A130" s="137" t="s">
        <v>26</v>
      </c>
      <c r="B130" s="334" t="s">
        <v>109</v>
      </c>
      <c r="C130" s="334"/>
      <c r="D130" s="334"/>
      <c r="E130" s="334"/>
      <c r="F130" s="334"/>
      <c r="G130" s="334"/>
      <c r="H130" s="334"/>
      <c r="I130" s="56">
        <f>I120</f>
        <v>366.48894260598217</v>
      </c>
      <c r="J130" s="57"/>
    </row>
    <row r="131" spans="1:12" ht="13.5" customHeight="1" x14ac:dyDescent="0.25">
      <c r="A131" s="328" t="s">
        <v>110</v>
      </c>
      <c r="B131" s="328"/>
      <c r="C131" s="328"/>
      <c r="D131" s="328"/>
      <c r="E131" s="328"/>
      <c r="F131" s="328"/>
      <c r="G131" s="328"/>
      <c r="H131" s="328"/>
      <c r="I131" s="109">
        <f>TRUNC(SUM(I129:I130),2)</f>
        <v>4025.91</v>
      </c>
      <c r="J131" s="110"/>
      <c r="K131" s="35">
        <f>SUM(I35,I69,I79,I98,I106,I110,I111)/G113</f>
        <v>4025.9134456460274</v>
      </c>
    </row>
    <row r="132" spans="1:12" ht="13.5" customHeight="1" x14ac:dyDescent="0.25">
      <c r="A132" s="89"/>
      <c r="B132" s="329"/>
      <c r="C132" s="329"/>
      <c r="D132" s="329"/>
      <c r="E132" s="329"/>
      <c r="F132" s="329"/>
      <c r="G132" s="330"/>
      <c r="H132" s="330"/>
      <c r="I132" s="72"/>
      <c r="J132" s="72"/>
    </row>
    <row r="133" spans="1:12" ht="13.5" customHeight="1" x14ac:dyDescent="0.25">
      <c r="A133" s="325" t="s">
        <v>111</v>
      </c>
      <c r="B133" s="325"/>
      <c r="C133" s="325"/>
      <c r="D133" s="325"/>
      <c r="E133" s="325"/>
      <c r="F133" s="325"/>
      <c r="G133" s="325"/>
      <c r="H133" s="325"/>
      <c r="I133" s="325"/>
      <c r="J133" s="106"/>
    </row>
    <row r="134" spans="1:12" ht="36" x14ac:dyDescent="0.25">
      <c r="A134" s="331" t="s">
        <v>112</v>
      </c>
      <c r="B134" s="331"/>
      <c r="C134" s="331"/>
      <c r="D134" s="111" t="s">
        <v>113</v>
      </c>
      <c r="E134" s="138" t="s">
        <v>120</v>
      </c>
      <c r="F134" s="332" t="s">
        <v>121</v>
      </c>
      <c r="G134" s="332"/>
      <c r="H134" s="112" t="s">
        <v>114</v>
      </c>
      <c r="I134" s="113" t="s">
        <v>122</v>
      </c>
      <c r="J134" s="114"/>
    </row>
    <row r="135" spans="1:12" ht="21" customHeight="1" x14ac:dyDescent="0.25">
      <c r="A135" s="136" t="s">
        <v>115</v>
      </c>
      <c r="B135" s="323" t="str">
        <f>H23</f>
        <v>ELETRICISTA</v>
      </c>
      <c r="C135" s="323"/>
      <c r="D135" s="115">
        <f>I131</f>
        <v>4025.91</v>
      </c>
      <c r="E135" s="136">
        <v>1</v>
      </c>
      <c r="F135" s="324">
        <f>(D135*E135)</f>
        <v>4025.91</v>
      </c>
      <c r="G135" s="324"/>
      <c r="H135" s="136">
        <f>H18</f>
        <v>2</v>
      </c>
      <c r="I135" s="143">
        <f>F135*H135</f>
        <v>8051.82</v>
      </c>
      <c r="J135" s="116"/>
    </row>
    <row r="136" spans="1:12" ht="13.5" customHeight="1" x14ac:dyDescent="0.25">
      <c r="A136" s="325" t="s">
        <v>116</v>
      </c>
      <c r="B136" s="325"/>
      <c r="C136" s="325"/>
      <c r="D136" s="325"/>
      <c r="E136" s="325"/>
      <c r="F136" s="325"/>
      <c r="G136" s="325"/>
      <c r="H136" s="325"/>
      <c r="I136" s="325"/>
      <c r="J136" s="106"/>
    </row>
    <row r="137" spans="1:12" ht="13.5" customHeight="1" x14ac:dyDescent="0.25">
      <c r="A137" s="136"/>
      <c r="B137" s="326" t="s">
        <v>117</v>
      </c>
      <c r="C137" s="326"/>
      <c r="D137" s="326"/>
      <c r="E137" s="326"/>
      <c r="F137" s="326"/>
      <c r="G137" s="326"/>
      <c r="H137" s="326"/>
      <c r="I137" s="117" t="s">
        <v>19</v>
      </c>
      <c r="J137" s="118"/>
    </row>
    <row r="138" spans="1:12" ht="13.5" customHeight="1" x14ac:dyDescent="0.25">
      <c r="A138" s="125" t="s">
        <v>2</v>
      </c>
      <c r="B138" s="327" t="s">
        <v>118</v>
      </c>
      <c r="C138" s="327"/>
      <c r="D138" s="327"/>
      <c r="E138" s="327"/>
      <c r="F138" s="327"/>
      <c r="G138" s="327"/>
      <c r="H138" s="327"/>
      <c r="I138" s="92">
        <f>F135</f>
        <v>4025.91</v>
      </c>
      <c r="J138" s="93"/>
      <c r="L138" s="35"/>
    </row>
    <row r="139" spans="1:12" ht="13.5" customHeight="1" x14ac:dyDescent="0.25">
      <c r="A139" s="136" t="s">
        <v>4</v>
      </c>
      <c r="B139" s="327" t="s">
        <v>119</v>
      </c>
      <c r="C139" s="327"/>
      <c r="D139" s="327"/>
      <c r="E139" s="327"/>
      <c r="F139" s="327"/>
      <c r="G139" s="327"/>
      <c r="H139" s="327"/>
      <c r="I139" s="92">
        <f>SUM(I138:I138)*H18</f>
        <v>8051.82</v>
      </c>
      <c r="J139" s="93"/>
      <c r="K139" s="122"/>
      <c r="L139" s="119"/>
    </row>
    <row r="140" spans="1:12" ht="13.5" customHeight="1" x14ac:dyDescent="0.25">
      <c r="A140" s="136" t="s">
        <v>6</v>
      </c>
      <c r="B140" s="323" t="s">
        <v>123</v>
      </c>
      <c r="C140" s="323"/>
      <c r="D140" s="323"/>
      <c r="E140" s="323"/>
      <c r="F140" s="323"/>
      <c r="G140" s="323"/>
      <c r="H140" s="323"/>
      <c r="I140" s="120">
        <f>(I139*12)</f>
        <v>96621.84</v>
      </c>
      <c r="J140" s="121"/>
    </row>
    <row r="141" spans="1:12" x14ac:dyDescent="0.25">
      <c r="I141" s="124"/>
    </row>
  </sheetData>
  <sheetProtection formatCells="0" formatColumns="0" formatRows="0" insertColumns="0" insertRows="0" insertHyperlinks="0" deleteColumns="0" deleteRows="0" sort="0" autoFilter="0" pivotTables="0"/>
  <mergeCells count="169">
    <mergeCell ref="A7:I7"/>
    <mergeCell ref="A8:I8"/>
    <mergeCell ref="A9:I9"/>
    <mergeCell ref="A10:I10"/>
    <mergeCell ref="A11:I11"/>
    <mergeCell ref="B12:D12"/>
    <mergeCell ref="E12:I12"/>
    <mergeCell ref="A1:I1"/>
    <mergeCell ref="A2:I2"/>
    <mergeCell ref="A3:I3"/>
    <mergeCell ref="A4:I4"/>
    <mergeCell ref="A5:I5"/>
    <mergeCell ref="A6:I6"/>
    <mergeCell ref="A16:I16"/>
    <mergeCell ref="A17:E17"/>
    <mergeCell ref="F17:G17"/>
    <mergeCell ref="H17:I17"/>
    <mergeCell ref="A18:E18"/>
    <mergeCell ref="F18:G18"/>
    <mergeCell ref="H18:I18"/>
    <mergeCell ref="B13:D13"/>
    <mergeCell ref="E13:I13"/>
    <mergeCell ref="B14:D14"/>
    <mergeCell ref="E14:I14"/>
    <mergeCell ref="B15:D15"/>
    <mergeCell ref="E15:I15"/>
    <mergeCell ref="B23:G23"/>
    <mergeCell ref="H23:I23"/>
    <mergeCell ref="B24:G24"/>
    <mergeCell ref="H24:I24"/>
    <mergeCell ref="A25:I25"/>
    <mergeCell ref="A26:I26"/>
    <mergeCell ref="A19:I19"/>
    <mergeCell ref="B20:G20"/>
    <mergeCell ref="H20:I20"/>
    <mergeCell ref="B21:G21"/>
    <mergeCell ref="H21:I21"/>
    <mergeCell ref="B22:G22"/>
    <mergeCell ref="H22:I22"/>
    <mergeCell ref="B30:F30"/>
    <mergeCell ref="G30:H30"/>
    <mergeCell ref="B31:F31"/>
    <mergeCell ref="G31:H31"/>
    <mergeCell ref="B32:F32"/>
    <mergeCell ref="G32:H32"/>
    <mergeCell ref="B27:F27"/>
    <mergeCell ref="G27:H27"/>
    <mergeCell ref="B28:F28"/>
    <mergeCell ref="G28:H28"/>
    <mergeCell ref="B29:F29"/>
    <mergeCell ref="G29:H29"/>
    <mergeCell ref="A37:I37"/>
    <mergeCell ref="B38:G38"/>
    <mergeCell ref="B39:G39"/>
    <mergeCell ref="B40:G40"/>
    <mergeCell ref="B41:G41"/>
    <mergeCell ref="B43:G43"/>
    <mergeCell ref="B33:F33"/>
    <mergeCell ref="G33:H33"/>
    <mergeCell ref="B34:F34"/>
    <mergeCell ref="G34:H34"/>
    <mergeCell ref="A35:H35"/>
    <mergeCell ref="A36:I36"/>
    <mergeCell ref="B50:G50"/>
    <mergeCell ref="B51:G51"/>
    <mergeCell ref="A52:G52"/>
    <mergeCell ref="B54:G54"/>
    <mergeCell ref="B55:G55"/>
    <mergeCell ref="B56:G56"/>
    <mergeCell ref="B44:G44"/>
    <mergeCell ref="B45:G45"/>
    <mergeCell ref="B46:G46"/>
    <mergeCell ref="B47:G47"/>
    <mergeCell ref="B48:G48"/>
    <mergeCell ref="B49:G49"/>
    <mergeCell ref="A63:H63"/>
    <mergeCell ref="A65:I65"/>
    <mergeCell ref="B66:H66"/>
    <mergeCell ref="B67:H67"/>
    <mergeCell ref="B68:H68"/>
    <mergeCell ref="A69:H69"/>
    <mergeCell ref="B57:G57"/>
    <mergeCell ref="B58:G58"/>
    <mergeCell ref="B59:G59"/>
    <mergeCell ref="B60:G60"/>
    <mergeCell ref="B61:G61"/>
    <mergeCell ref="B62:G62"/>
    <mergeCell ref="B77:G77"/>
    <mergeCell ref="B78:G78"/>
    <mergeCell ref="A79:G79"/>
    <mergeCell ref="B80:F80"/>
    <mergeCell ref="G80:H80"/>
    <mergeCell ref="A81:I81"/>
    <mergeCell ref="A71:I71"/>
    <mergeCell ref="B72:G72"/>
    <mergeCell ref="B73:G73"/>
    <mergeCell ref="B74:G74"/>
    <mergeCell ref="B75:G75"/>
    <mergeCell ref="B76:G76"/>
    <mergeCell ref="B88:G88"/>
    <mergeCell ref="B89:G89"/>
    <mergeCell ref="B90:F90"/>
    <mergeCell ref="G90:H90"/>
    <mergeCell ref="B91:H91"/>
    <mergeCell ref="B92:H92"/>
    <mergeCell ref="B82:G82"/>
    <mergeCell ref="B83:G83"/>
    <mergeCell ref="B84:G84"/>
    <mergeCell ref="B85:G85"/>
    <mergeCell ref="B86:G86"/>
    <mergeCell ref="B87:G87"/>
    <mergeCell ref="A98:H98"/>
    <mergeCell ref="B99:F99"/>
    <mergeCell ref="G99:H99"/>
    <mergeCell ref="A100:I100"/>
    <mergeCell ref="B101:H101"/>
    <mergeCell ref="B102:H102"/>
    <mergeCell ref="B93:H93"/>
    <mergeCell ref="B94:F94"/>
    <mergeCell ref="G94:H94"/>
    <mergeCell ref="A95:I95"/>
    <mergeCell ref="B96:H96"/>
    <mergeCell ref="B97:H97"/>
    <mergeCell ref="A108:I108"/>
    <mergeCell ref="B109:G109"/>
    <mergeCell ref="B110:G110"/>
    <mergeCell ref="B111:G111"/>
    <mergeCell ref="B103:H103"/>
    <mergeCell ref="B104:H104"/>
    <mergeCell ref="B105:H105"/>
    <mergeCell ref="A106:H106"/>
    <mergeCell ref="A107:F107"/>
    <mergeCell ref="G107:H107"/>
    <mergeCell ref="B114:H114"/>
    <mergeCell ref="B115:G115"/>
    <mergeCell ref="B116:G116"/>
    <mergeCell ref="B117:H117"/>
    <mergeCell ref="B118:H118"/>
    <mergeCell ref="B119:G119"/>
    <mergeCell ref="B112:D112"/>
    <mergeCell ref="E112:H112"/>
    <mergeCell ref="B113:D113"/>
    <mergeCell ref="E113:F113"/>
    <mergeCell ref="G113:H113"/>
    <mergeCell ref="B125:H125"/>
    <mergeCell ref="B126:H126"/>
    <mergeCell ref="B127:H127"/>
    <mergeCell ref="B128:H128"/>
    <mergeCell ref="A129:H129"/>
    <mergeCell ref="B130:H130"/>
    <mergeCell ref="A120:H120"/>
    <mergeCell ref="B121:F121"/>
    <mergeCell ref="G121:H121"/>
    <mergeCell ref="A122:I122"/>
    <mergeCell ref="B123:H123"/>
    <mergeCell ref="B124:H124"/>
    <mergeCell ref="B140:H140"/>
    <mergeCell ref="B135:C135"/>
    <mergeCell ref="F135:G135"/>
    <mergeCell ref="A136:I136"/>
    <mergeCell ref="B137:H137"/>
    <mergeCell ref="B138:H138"/>
    <mergeCell ref="B139:H139"/>
    <mergeCell ref="A131:H131"/>
    <mergeCell ref="B132:F132"/>
    <mergeCell ref="G132:H132"/>
    <mergeCell ref="A133:I133"/>
    <mergeCell ref="A134:C134"/>
    <mergeCell ref="F134:G134"/>
  </mergeCells>
  <pageMargins left="0.6692913385826772" right="0.19685039370078741" top="0.78740157480314965" bottom="0.6692913385826772" header="0.11811023622047245" footer="0.11811023622047245"/>
  <pageSetup paperSize="9" scale="75" firstPageNumber="0" fitToHeight="0" orientation="portrait" r:id="rId1"/>
  <headerFooter alignWithMargins="0">
    <oddHeader>&amp;R&amp;G</oddHeader>
    <oddFooter>&amp;L&amp;G</oddFooter>
  </headerFooter>
  <rowBreaks count="1" manualBreakCount="1">
    <brk id="70" max="8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141"/>
  <sheetViews>
    <sheetView view="pageBreakPreview" topLeftCell="E124" zoomScaleNormal="100" zoomScaleSheetLayoutView="100" workbookViewId="0">
      <selection activeCell="G95" sqref="G95"/>
    </sheetView>
  </sheetViews>
  <sheetFormatPr defaultRowHeight="15" x14ac:dyDescent="0.25"/>
  <cols>
    <col min="1" max="1" width="5.5703125" style="1" customWidth="1"/>
    <col min="2" max="3" width="19.42578125" style="1" customWidth="1"/>
    <col min="4" max="4" width="16.42578125" style="1" customWidth="1"/>
    <col min="5" max="5" width="12.42578125" style="1" customWidth="1"/>
    <col min="6" max="6" width="9.140625" style="1" customWidth="1"/>
    <col min="7" max="7" width="7.5703125" style="1" customWidth="1"/>
    <col min="8" max="8" width="12" style="1" customWidth="1"/>
    <col min="9" max="9" width="20.7109375" style="1" customWidth="1"/>
    <col min="10" max="10" width="2.5703125" style="1" customWidth="1"/>
    <col min="11" max="11" width="13" style="3" customWidth="1"/>
    <col min="12" max="12" width="12.5703125" style="3" customWidth="1"/>
    <col min="13" max="13" width="10.28515625" style="3" customWidth="1"/>
    <col min="14" max="16" width="8.7109375" style="3" customWidth="1"/>
    <col min="17" max="1025" width="8.7109375" style="1" customWidth="1"/>
    <col min="1026" max="16384" width="9.140625" style="1"/>
  </cols>
  <sheetData>
    <row r="1" spans="1:10" ht="15.75" x14ac:dyDescent="0.25">
      <c r="A1" s="302" t="s">
        <v>212</v>
      </c>
      <c r="B1" s="302"/>
      <c r="C1" s="302"/>
      <c r="D1" s="302"/>
      <c r="E1" s="302"/>
      <c r="F1" s="302"/>
      <c r="G1" s="302"/>
      <c r="H1" s="302"/>
      <c r="I1" s="302"/>
      <c r="J1" s="126"/>
    </row>
    <row r="2" spans="1:10" ht="15.75" x14ac:dyDescent="0.25">
      <c r="A2" s="302" t="s">
        <v>213</v>
      </c>
      <c r="B2" s="302"/>
      <c r="C2" s="302"/>
      <c r="D2" s="302"/>
      <c r="E2" s="302"/>
      <c r="F2" s="302"/>
      <c r="G2" s="302"/>
      <c r="H2" s="302"/>
      <c r="I2" s="302"/>
      <c r="J2" s="126"/>
    </row>
    <row r="3" spans="1:10" ht="15.75" x14ac:dyDescent="0.25">
      <c r="A3" s="302" t="s">
        <v>215</v>
      </c>
      <c r="B3" s="302"/>
      <c r="C3" s="302"/>
      <c r="D3" s="302"/>
      <c r="E3" s="302"/>
      <c r="F3" s="302"/>
      <c r="G3" s="302"/>
      <c r="H3" s="302"/>
      <c r="I3" s="302"/>
      <c r="J3" s="126"/>
    </row>
    <row r="4" spans="1:10" ht="15.75" x14ac:dyDescent="0.25">
      <c r="A4" s="302" t="s">
        <v>214</v>
      </c>
      <c r="B4" s="302"/>
      <c r="C4" s="302"/>
      <c r="D4" s="302"/>
      <c r="E4" s="302"/>
      <c r="F4" s="302"/>
      <c r="G4" s="302"/>
      <c r="H4" s="302"/>
      <c r="I4" s="302"/>
      <c r="J4" s="126"/>
    </row>
    <row r="5" spans="1:10" ht="15.75" x14ac:dyDescent="0.25">
      <c r="A5" s="396" t="s">
        <v>323</v>
      </c>
      <c r="B5" s="396"/>
      <c r="C5" s="396"/>
      <c r="D5" s="396"/>
      <c r="E5" s="396"/>
      <c r="F5" s="396"/>
      <c r="G5" s="396"/>
      <c r="H5" s="396"/>
      <c r="I5" s="396"/>
      <c r="J5" s="126"/>
    </row>
    <row r="6" spans="1:10" x14ac:dyDescent="0.25">
      <c r="A6" s="385"/>
      <c r="B6" s="385"/>
      <c r="C6" s="385"/>
      <c r="D6" s="385"/>
      <c r="E6" s="385"/>
      <c r="F6" s="385"/>
      <c r="G6" s="385"/>
      <c r="H6" s="385"/>
      <c r="I6" s="385"/>
      <c r="J6" s="139"/>
    </row>
    <row r="7" spans="1:10" ht="18.75" x14ac:dyDescent="0.25">
      <c r="A7" s="390" t="s">
        <v>0</v>
      </c>
      <c r="B7" s="390"/>
      <c r="C7" s="390"/>
      <c r="D7" s="390"/>
      <c r="E7" s="390"/>
      <c r="F7" s="390"/>
      <c r="G7" s="390"/>
      <c r="H7" s="390"/>
      <c r="I7" s="390"/>
      <c r="J7" s="140"/>
    </row>
    <row r="8" spans="1:10" x14ac:dyDescent="0.25">
      <c r="A8" s="385"/>
      <c r="B8" s="385"/>
      <c r="C8" s="385"/>
      <c r="D8" s="385"/>
      <c r="E8" s="385"/>
      <c r="F8" s="385"/>
      <c r="G8" s="385"/>
      <c r="H8" s="385"/>
      <c r="I8" s="385"/>
      <c r="J8" s="139"/>
    </row>
    <row r="9" spans="1:10" x14ac:dyDescent="0.25">
      <c r="A9" s="391" t="s">
        <v>261</v>
      </c>
      <c r="B9" s="391"/>
      <c r="C9" s="391"/>
      <c r="D9" s="391"/>
      <c r="E9" s="391"/>
      <c r="F9" s="391"/>
      <c r="G9" s="391"/>
      <c r="H9" s="391"/>
      <c r="I9" s="391"/>
      <c r="J9" s="37"/>
    </row>
    <row r="10" spans="1:10" ht="21.75" customHeight="1" thickBot="1" x14ac:dyDescent="0.3">
      <c r="A10" s="392" t="s">
        <v>0</v>
      </c>
      <c r="B10" s="392"/>
      <c r="C10" s="392"/>
      <c r="D10" s="392"/>
      <c r="E10" s="392"/>
      <c r="F10" s="392"/>
      <c r="G10" s="392"/>
      <c r="H10" s="392"/>
      <c r="I10" s="392"/>
      <c r="J10" s="44"/>
    </row>
    <row r="11" spans="1:10" ht="13.5" customHeight="1" x14ac:dyDescent="0.25">
      <c r="A11" s="393" t="s">
        <v>1</v>
      </c>
      <c r="B11" s="393"/>
      <c r="C11" s="393"/>
      <c r="D11" s="393"/>
      <c r="E11" s="393"/>
      <c r="F11" s="393"/>
      <c r="G11" s="393"/>
      <c r="H11" s="393"/>
      <c r="I11" s="393"/>
      <c r="J11" s="45"/>
    </row>
    <row r="12" spans="1:10" ht="13.5" customHeight="1" x14ac:dyDescent="0.25">
      <c r="A12" s="137" t="s">
        <v>2</v>
      </c>
      <c r="B12" s="349" t="s">
        <v>3</v>
      </c>
      <c r="C12" s="349"/>
      <c r="D12" s="349"/>
      <c r="E12" s="394">
        <f>MARCEN!E12</f>
        <v>45065</v>
      </c>
      <c r="F12" s="395"/>
      <c r="G12" s="395"/>
      <c r="H12" s="395"/>
      <c r="I12" s="395"/>
      <c r="J12" s="46"/>
    </row>
    <row r="13" spans="1:10" ht="13.5" customHeight="1" x14ac:dyDescent="0.25">
      <c r="A13" s="137" t="s">
        <v>4</v>
      </c>
      <c r="B13" s="387" t="s">
        <v>5</v>
      </c>
      <c r="C13" s="387"/>
      <c r="D13" s="387"/>
      <c r="E13" s="397" t="str">
        <f>MARCEN!E13</f>
        <v>Picos/PI</v>
      </c>
      <c r="F13" s="398"/>
      <c r="G13" s="398"/>
      <c r="H13" s="398"/>
      <c r="I13" s="398"/>
      <c r="J13" s="47"/>
    </row>
    <row r="14" spans="1:10" ht="13.5" customHeight="1" x14ac:dyDescent="0.25">
      <c r="A14" s="137" t="s">
        <v>6</v>
      </c>
      <c r="B14" s="387" t="s">
        <v>7</v>
      </c>
      <c r="C14" s="387"/>
      <c r="D14" s="387"/>
      <c r="E14" s="397" t="str">
        <f>MARCEN!E14</f>
        <v>PI000066/2023</v>
      </c>
      <c r="F14" s="398"/>
      <c r="G14" s="398"/>
      <c r="H14" s="398"/>
      <c r="I14" s="398"/>
      <c r="J14" s="48"/>
    </row>
    <row r="15" spans="1:10" ht="13.5" customHeight="1" x14ac:dyDescent="0.25">
      <c r="A15" s="137" t="s">
        <v>8</v>
      </c>
      <c r="B15" s="349" t="s">
        <v>9</v>
      </c>
      <c r="C15" s="349"/>
      <c r="D15" s="349"/>
      <c r="E15" s="342" t="s">
        <v>194</v>
      </c>
      <c r="F15" s="342"/>
      <c r="G15" s="342"/>
      <c r="H15" s="342"/>
      <c r="I15" s="342"/>
      <c r="J15" s="147"/>
    </row>
    <row r="16" spans="1:10" x14ac:dyDescent="0.25">
      <c r="A16" s="385"/>
      <c r="B16" s="385"/>
      <c r="C16" s="385"/>
      <c r="D16" s="385"/>
      <c r="E16" s="385"/>
      <c r="F16" s="385"/>
      <c r="G16" s="385"/>
      <c r="H16" s="385"/>
      <c r="I16" s="385"/>
      <c r="J16" s="139"/>
    </row>
    <row r="17" spans="1:16" ht="26.25" customHeight="1" x14ac:dyDescent="0.25">
      <c r="A17" s="335" t="s">
        <v>10</v>
      </c>
      <c r="B17" s="335"/>
      <c r="C17" s="335"/>
      <c r="D17" s="335"/>
      <c r="E17" s="335"/>
      <c r="F17" s="335" t="s">
        <v>11</v>
      </c>
      <c r="G17" s="335"/>
      <c r="H17" s="356" t="s">
        <v>207</v>
      </c>
      <c r="I17" s="356"/>
      <c r="J17" s="49"/>
      <c r="O17" s="30"/>
    </row>
    <row r="18" spans="1:16" x14ac:dyDescent="0.25">
      <c r="A18" s="342" t="str">
        <f>A9</f>
        <v>TRATADOR DE ANIMAIS</v>
      </c>
      <c r="B18" s="342"/>
      <c r="C18" s="342"/>
      <c r="D18" s="342"/>
      <c r="E18" s="342"/>
      <c r="F18" s="342" t="s">
        <v>257</v>
      </c>
      <c r="G18" s="342"/>
      <c r="H18" s="386">
        <v>1</v>
      </c>
      <c r="I18" s="386"/>
      <c r="J18" s="50"/>
    </row>
    <row r="19" spans="1:16" x14ac:dyDescent="0.25">
      <c r="A19" s="356" t="s">
        <v>124</v>
      </c>
      <c r="B19" s="356"/>
      <c r="C19" s="356"/>
      <c r="D19" s="356"/>
      <c r="E19" s="356"/>
      <c r="F19" s="356"/>
      <c r="G19" s="356"/>
      <c r="H19" s="356"/>
      <c r="I19" s="356"/>
      <c r="J19" s="49"/>
    </row>
    <row r="20" spans="1:16" x14ac:dyDescent="0.25">
      <c r="A20" s="137">
        <v>1</v>
      </c>
      <c r="B20" s="349" t="s">
        <v>12</v>
      </c>
      <c r="C20" s="349"/>
      <c r="D20" s="349"/>
      <c r="E20" s="349"/>
      <c r="F20" s="349"/>
      <c r="G20" s="349"/>
      <c r="H20" s="379" t="s">
        <v>251</v>
      </c>
      <c r="I20" s="379"/>
      <c r="J20" s="147"/>
    </row>
    <row r="21" spans="1:16" x14ac:dyDescent="0.25">
      <c r="A21" s="137">
        <v>2</v>
      </c>
      <c r="B21" s="339" t="s">
        <v>216</v>
      </c>
      <c r="C21" s="340"/>
      <c r="D21" s="340"/>
      <c r="E21" s="340"/>
      <c r="F21" s="340"/>
      <c r="G21" s="380"/>
      <c r="H21" s="381" t="s">
        <v>260</v>
      </c>
      <c r="I21" s="382"/>
      <c r="J21" s="147"/>
    </row>
    <row r="22" spans="1:16" s="21" customFormat="1" ht="12.75" x14ac:dyDescent="0.2">
      <c r="A22" s="204">
        <v>3</v>
      </c>
      <c r="B22" s="383" t="s">
        <v>13</v>
      </c>
      <c r="C22" s="383"/>
      <c r="D22" s="383"/>
      <c r="E22" s="383"/>
      <c r="F22" s="383"/>
      <c r="G22" s="383"/>
      <c r="H22" s="384">
        <f>1380.07*107.43%</f>
        <v>1482.609201</v>
      </c>
      <c r="I22" s="384"/>
      <c r="J22" s="51"/>
    </row>
    <row r="23" spans="1:16" x14ac:dyDescent="0.25">
      <c r="A23" s="137">
        <v>4</v>
      </c>
      <c r="B23" s="349" t="s">
        <v>14</v>
      </c>
      <c r="C23" s="349"/>
      <c r="D23" s="349"/>
      <c r="E23" s="349"/>
      <c r="F23" s="349"/>
      <c r="G23" s="349"/>
      <c r="H23" s="374" t="str">
        <f>A9</f>
        <v>TRATADOR DE ANIMAIS</v>
      </c>
      <c r="I23" s="374"/>
      <c r="J23" s="52"/>
      <c r="N23" s="4"/>
    </row>
    <row r="24" spans="1:16" x14ac:dyDescent="0.25">
      <c r="A24" s="137">
        <v>5</v>
      </c>
      <c r="B24" s="375" t="s">
        <v>15</v>
      </c>
      <c r="C24" s="375"/>
      <c r="D24" s="375"/>
      <c r="E24" s="375"/>
      <c r="F24" s="375"/>
      <c r="G24" s="375"/>
      <c r="H24" s="376">
        <v>44927</v>
      </c>
      <c r="I24" s="377"/>
      <c r="J24" s="53"/>
    </row>
    <row r="25" spans="1:16" x14ac:dyDescent="0.25">
      <c r="A25" s="378"/>
      <c r="B25" s="378"/>
      <c r="C25" s="378"/>
      <c r="D25" s="378"/>
      <c r="E25" s="378"/>
      <c r="F25" s="378"/>
      <c r="G25" s="378"/>
      <c r="H25" s="378"/>
      <c r="I25" s="378"/>
      <c r="J25" s="147"/>
    </row>
    <row r="26" spans="1:16" ht="13.5" customHeight="1" x14ac:dyDescent="0.25">
      <c r="A26" s="347" t="s">
        <v>16</v>
      </c>
      <c r="B26" s="347"/>
      <c r="C26" s="347"/>
      <c r="D26" s="347"/>
      <c r="E26" s="347"/>
      <c r="F26" s="347"/>
      <c r="G26" s="347"/>
      <c r="H26" s="347"/>
      <c r="I26" s="347"/>
      <c r="J26" s="54"/>
    </row>
    <row r="27" spans="1:16" ht="13.5" customHeight="1" x14ac:dyDescent="0.25">
      <c r="A27" s="142">
        <v>1</v>
      </c>
      <c r="B27" s="335" t="s">
        <v>17</v>
      </c>
      <c r="C27" s="335"/>
      <c r="D27" s="335"/>
      <c r="E27" s="335"/>
      <c r="F27" s="335"/>
      <c r="G27" s="335" t="s">
        <v>18</v>
      </c>
      <c r="H27" s="335"/>
      <c r="I27" s="142" t="s">
        <v>19</v>
      </c>
      <c r="J27" s="55"/>
    </row>
    <row r="28" spans="1:16" s="223" customFormat="1" ht="13.5" customHeight="1" x14ac:dyDescent="0.25">
      <c r="A28" s="219" t="s">
        <v>2</v>
      </c>
      <c r="B28" s="372" t="s">
        <v>20</v>
      </c>
      <c r="C28" s="372"/>
      <c r="D28" s="372"/>
      <c r="E28" s="372"/>
      <c r="F28" s="372"/>
      <c r="G28" s="373">
        <v>1</v>
      </c>
      <c r="H28" s="373"/>
      <c r="I28" s="220">
        <f>H22</f>
        <v>1482.609201</v>
      </c>
      <c r="J28" s="221"/>
      <c r="K28" s="222"/>
      <c r="L28" s="222"/>
      <c r="M28" s="222"/>
      <c r="N28" s="222"/>
      <c r="O28" s="222"/>
      <c r="P28" s="222"/>
    </row>
    <row r="29" spans="1:16" ht="13.5" customHeight="1" x14ac:dyDescent="0.25">
      <c r="A29" s="137" t="s">
        <v>4</v>
      </c>
      <c r="B29" s="357" t="s">
        <v>21</v>
      </c>
      <c r="C29" s="357"/>
      <c r="D29" s="357"/>
      <c r="E29" s="357"/>
      <c r="F29" s="357"/>
      <c r="G29" s="370">
        <v>0</v>
      </c>
      <c r="H29" s="370"/>
      <c r="I29" s="58">
        <f>(I28*G29)</f>
        <v>0</v>
      </c>
      <c r="J29" s="59"/>
    </row>
    <row r="30" spans="1:16" ht="13.5" customHeight="1" x14ac:dyDescent="0.25">
      <c r="A30" s="137" t="s">
        <v>6</v>
      </c>
      <c r="B30" s="357" t="s">
        <v>22</v>
      </c>
      <c r="C30" s="357"/>
      <c r="D30" s="357"/>
      <c r="E30" s="357"/>
      <c r="F30" s="357"/>
      <c r="G30" s="370">
        <v>0</v>
      </c>
      <c r="H30" s="370"/>
      <c r="I30" s="56">
        <f>(I28*G30)</f>
        <v>0</v>
      </c>
      <c r="J30" s="57"/>
    </row>
    <row r="31" spans="1:16" ht="13.5" customHeight="1" x14ac:dyDescent="0.25">
      <c r="A31" s="137" t="s">
        <v>8</v>
      </c>
      <c r="B31" s="357" t="s">
        <v>23</v>
      </c>
      <c r="C31" s="357"/>
      <c r="D31" s="357"/>
      <c r="E31" s="357"/>
      <c r="F31" s="357"/>
      <c r="G31" s="370">
        <v>0</v>
      </c>
      <c r="H31" s="370"/>
      <c r="I31" s="56">
        <v>0</v>
      </c>
      <c r="J31" s="57"/>
    </row>
    <row r="32" spans="1:16" ht="13.5" customHeight="1" x14ac:dyDescent="0.25">
      <c r="A32" s="137" t="s">
        <v>24</v>
      </c>
      <c r="B32" s="357" t="s">
        <v>25</v>
      </c>
      <c r="C32" s="357"/>
      <c r="D32" s="357"/>
      <c r="E32" s="357"/>
      <c r="F32" s="357"/>
      <c r="G32" s="370">
        <v>0</v>
      </c>
      <c r="H32" s="370"/>
      <c r="I32" s="56">
        <v>0</v>
      </c>
      <c r="J32" s="57"/>
    </row>
    <row r="33" spans="1:16" ht="13.5" customHeight="1" x14ac:dyDescent="0.25">
      <c r="A33" s="137" t="s">
        <v>26</v>
      </c>
      <c r="B33" s="357" t="s">
        <v>27</v>
      </c>
      <c r="C33" s="357"/>
      <c r="D33" s="357"/>
      <c r="E33" s="357"/>
      <c r="F33" s="357"/>
      <c r="G33" s="370">
        <v>0</v>
      </c>
      <c r="H33" s="370"/>
      <c r="I33" s="56">
        <v>0</v>
      </c>
      <c r="J33" s="57"/>
    </row>
    <row r="34" spans="1:16" ht="13.5" customHeight="1" x14ac:dyDescent="0.25">
      <c r="A34" s="137" t="s">
        <v>28</v>
      </c>
      <c r="B34" s="349" t="s">
        <v>29</v>
      </c>
      <c r="C34" s="349"/>
      <c r="D34" s="349"/>
      <c r="E34" s="349"/>
      <c r="F34" s="349"/>
      <c r="G34" s="370">
        <v>0</v>
      </c>
      <c r="H34" s="370"/>
      <c r="I34" s="56">
        <v>0</v>
      </c>
      <c r="J34" s="57"/>
    </row>
    <row r="35" spans="1:16" ht="13.5" customHeight="1" x14ac:dyDescent="0.25">
      <c r="A35" s="335" t="s">
        <v>30</v>
      </c>
      <c r="B35" s="335"/>
      <c r="C35" s="335"/>
      <c r="D35" s="335"/>
      <c r="E35" s="335"/>
      <c r="F35" s="335"/>
      <c r="G35" s="335"/>
      <c r="H35" s="335"/>
      <c r="I35" s="60">
        <f>SUM(I28:I34)</f>
        <v>1482.609201</v>
      </c>
      <c r="J35" s="61"/>
    </row>
    <row r="36" spans="1:16" x14ac:dyDescent="0.25">
      <c r="A36" s="371"/>
      <c r="B36" s="371"/>
      <c r="C36" s="371"/>
      <c r="D36" s="371"/>
      <c r="E36" s="371"/>
      <c r="F36" s="371"/>
      <c r="G36" s="371"/>
      <c r="H36" s="371"/>
      <c r="I36" s="371"/>
      <c r="J36" s="149"/>
    </row>
    <row r="37" spans="1:16" ht="13.5" customHeight="1" x14ac:dyDescent="0.25">
      <c r="A37" s="347" t="s">
        <v>127</v>
      </c>
      <c r="B37" s="347"/>
      <c r="C37" s="347"/>
      <c r="D37" s="347"/>
      <c r="E37" s="347"/>
      <c r="F37" s="347"/>
      <c r="G37" s="347"/>
      <c r="H37" s="347"/>
      <c r="I37" s="347"/>
      <c r="J37" s="54"/>
    </row>
    <row r="38" spans="1:16" ht="13.5" customHeight="1" x14ac:dyDescent="0.25">
      <c r="A38" s="142" t="s">
        <v>31</v>
      </c>
      <c r="B38" s="359" t="s">
        <v>32</v>
      </c>
      <c r="C38" s="359"/>
      <c r="D38" s="359"/>
      <c r="E38" s="359"/>
      <c r="F38" s="359"/>
      <c r="G38" s="359"/>
      <c r="H38" s="142" t="s">
        <v>18</v>
      </c>
      <c r="I38" s="142" t="s">
        <v>19</v>
      </c>
      <c r="J38" s="55"/>
    </row>
    <row r="39" spans="1:16" ht="13.5" customHeight="1" x14ac:dyDescent="0.25">
      <c r="A39" s="137" t="s">
        <v>2</v>
      </c>
      <c r="B39" s="358" t="s">
        <v>33</v>
      </c>
      <c r="C39" s="358"/>
      <c r="D39" s="358"/>
      <c r="E39" s="358"/>
      <c r="F39" s="358"/>
      <c r="G39" s="358"/>
      <c r="H39" s="148">
        <f>(1/12)*1</f>
        <v>8.3333333333333329E-2</v>
      </c>
      <c r="I39" s="56">
        <f>$I$35*H39</f>
        <v>123.55076674999999</v>
      </c>
      <c r="J39" s="57"/>
    </row>
    <row r="40" spans="1:16" ht="13.5" customHeight="1" x14ac:dyDescent="0.25">
      <c r="A40" s="137" t="s">
        <v>4</v>
      </c>
      <c r="B40" s="358" t="s">
        <v>34</v>
      </c>
      <c r="C40" s="358"/>
      <c r="D40" s="358"/>
      <c r="E40" s="358"/>
      <c r="F40" s="358"/>
      <c r="G40" s="358"/>
      <c r="H40" s="148">
        <f>((1+1/3)/12)*1</f>
        <v>0.1111111111111111</v>
      </c>
      <c r="I40" s="56">
        <f>$I$35*H40</f>
        <v>164.73435566666666</v>
      </c>
      <c r="J40" s="57"/>
    </row>
    <row r="41" spans="1:16" ht="13.5" customHeight="1" x14ac:dyDescent="0.25">
      <c r="A41" s="62"/>
      <c r="B41" s="335" t="s">
        <v>35</v>
      </c>
      <c r="C41" s="335"/>
      <c r="D41" s="335"/>
      <c r="E41" s="335"/>
      <c r="F41" s="335"/>
      <c r="G41" s="335"/>
      <c r="H41" s="63">
        <f>SUM(H39:H40)</f>
        <v>0.19444444444444442</v>
      </c>
      <c r="I41" s="64">
        <f>SUM(I39:I40)</f>
        <v>288.28512241666664</v>
      </c>
      <c r="J41" s="65"/>
      <c r="K41" s="31">
        <f>H52*H41</f>
        <v>6.9766666666666671E-2</v>
      </c>
    </row>
    <row r="42" spans="1:16" ht="9.75" customHeight="1" x14ac:dyDescent="0.25">
      <c r="A42" s="141"/>
      <c r="B42" s="141"/>
      <c r="C42" s="141"/>
      <c r="D42" s="141"/>
      <c r="E42" s="141"/>
      <c r="F42" s="141"/>
      <c r="G42" s="141"/>
      <c r="H42" s="141"/>
      <c r="I42" s="66"/>
      <c r="J42" s="66"/>
    </row>
    <row r="43" spans="1:16" ht="13.5" customHeight="1" x14ac:dyDescent="0.25">
      <c r="A43" s="142" t="s">
        <v>36</v>
      </c>
      <c r="B43" s="359" t="s">
        <v>37</v>
      </c>
      <c r="C43" s="359"/>
      <c r="D43" s="359"/>
      <c r="E43" s="359"/>
      <c r="F43" s="359"/>
      <c r="G43" s="359"/>
      <c r="H43" s="142" t="s">
        <v>18</v>
      </c>
      <c r="I43" s="142" t="s">
        <v>19</v>
      </c>
      <c r="J43" s="55"/>
    </row>
    <row r="44" spans="1:16" ht="13.5" customHeight="1" x14ac:dyDescent="0.25">
      <c r="A44" s="137" t="s">
        <v>2</v>
      </c>
      <c r="B44" s="358" t="s">
        <v>38</v>
      </c>
      <c r="C44" s="358"/>
      <c r="D44" s="358"/>
      <c r="E44" s="358"/>
      <c r="F44" s="358"/>
      <c r="G44" s="358"/>
      <c r="H44" s="128">
        <v>0.2</v>
      </c>
      <c r="I44" s="56">
        <f>SUM($I$35,$I$41)*H44</f>
        <v>354.17886468333336</v>
      </c>
      <c r="J44" s="57"/>
    </row>
    <row r="45" spans="1:16" ht="13.5" customHeight="1" x14ac:dyDescent="0.25">
      <c r="A45" s="137" t="s">
        <v>4</v>
      </c>
      <c r="B45" s="358" t="s">
        <v>39</v>
      </c>
      <c r="C45" s="358"/>
      <c r="D45" s="358"/>
      <c r="E45" s="358"/>
      <c r="F45" s="358"/>
      <c r="G45" s="358"/>
      <c r="H45" s="67">
        <v>2.5000000000000001E-2</v>
      </c>
      <c r="I45" s="56">
        <f t="shared" ref="I45:I51" si="0">SUM($I$35,$I$41)*H45</f>
        <v>44.27235808541667</v>
      </c>
      <c r="J45" s="57"/>
    </row>
    <row r="46" spans="1:16" s="83" customFormat="1" ht="13.5" customHeight="1" x14ac:dyDescent="0.25">
      <c r="A46" s="205" t="s">
        <v>6</v>
      </c>
      <c r="B46" s="364" t="s">
        <v>40</v>
      </c>
      <c r="C46" s="364"/>
      <c r="D46" s="364"/>
      <c r="E46" s="364"/>
      <c r="F46" s="364"/>
      <c r="G46" s="364"/>
      <c r="H46" s="207">
        <v>2.0799999999999999E-2</v>
      </c>
      <c r="I46" s="81">
        <f t="shared" si="0"/>
        <v>36.834601927066664</v>
      </c>
      <c r="J46" s="82"/>
      <c r="K46" s="21"/>
      <c r="L46" s="21"/>
      <c r="M46" s="21"/>
      <c r="N46" s="21"/>
      <c r="O46" s="21"/>
      <c r="P46" s="21"/>
    </row>
    <row r="47" spans="1:16" ht="13.5" customHeight="1" x14ac:dyDescent="0.25">
      <c r="A47" s="137" t="s">
        <v>8</v>
      </c>
      <c r="B47" s="358" t="s">
        <v>41</v>
      </c>
      <c r="C47" s="358"/>
      <c r="D47" s="358"/>
      <c r="E47" s="358"/>
      <c r="F47" s="358"/>
      <c r="G47" s="358"/>
      <c r="H47" s="68">
        <v>1.4999999999999999E-2</v>
      </c>
      <c r="I47" s="56">
        <f t="shared" si="0"/>
        <v>26.563414851249998</v>
      </c>
      <c r="J47" s="57"/>
    </row>
    <row r="48" spans="1:16" ht="13.5" customHeight="1" x14ac:dyDescent="0.25">
      <c r="A48" s="137" t="s">
        <v>24</v>
      </c>
      <c r="B48" s="358" t="s">
        <v>42</v>
      </c>
      <c r="C48" s="358"/>
      <c r="D48" s="358"/>
      <c r="E48" s="358"/>
      <c r="F48" s="358"/>
      <c r="G48" s="358"/>
      <c r="H48" s="68">
        <v>0.01</v>
      </c>
      <c r="I48" s="56">
        <f t="shared" si="0"/>
        <v>17.708943234166664</v>
      </c>
      <c r="J48" s="57"/>
    </row>
    <row r="49" spans="1:16" ht="13.5" customHeight="1" x14ac:dyDescent="0.25">
      <c r="A49" s="137" t="s">
        <v>26</v>
      </c>
      <c r="B49" s="358" t="s">
        <v>43</v>
      </c>
      <c r="C49" s="358"/>
      <c r="D49" s="358"/>
      <c r="E49" s="358"/>
      <c r="F49" s="358"/>
      <c r="G49" s="358"/>
      <c r="H49" s="68">
        <v>6.0000000000000001E-3</v>
      </c>
      <c r="I49" s="56">
        <f t="shared" si="0"/>
        <v>10.6253659405</v>
      </c>
      <c r="J49" s="57"/>
    </row>
    <row r="50" spans="1:16" ht="13.5" customHeight="1" x14ac:dyDescent="0.25">
      <c r="A50" s="137" t="s">
        <v>28</v>
      </c>
      <c r="B50" s="358" t="s">
        <v>44</v>
      </c>
      <c r="C50" s="358"/>
      <c r="D50" s="358"/>
      <c r="E50" s="358"/>
      <c r="F50" s="358"/>
      <c r="G50" s="358"/>
      <c r="H50" s="68">
        <v>2E-3</v>
      </c>
      <c r="I50" s="56">
        <f t="shared" si="0"/>
        <v>3.5417886468333331</v>
      </c>
      <c r="J50" s="57"/>
    </row>
    <row r="51" spans="1:16" ht="13.5" customHeight="1" x14ac:dyDescent="0.25">
      <c r="A51" s="137" t="s">
        <v>45</v>
      </c>
      <c r="B51" s="358" t="s">
        <v>46</v>
      </c>
      <c r="C51" s="358"/>
      <c r="D51" s="358"/>
      <c r="E51" s="358"/>
      <c r="F51" s="358"/>
      <c r="G51" s="358"/>
      <c r="H51" s="68">
        <v>0.08</v>
      </c>
      <c r="I51" s="56">
        <f t="shared" si="0"/>
        <v>141.67154587333332</v>
      </c>
      <c r="J51" s="57"/>
    </row>
    <row r="52" spans="1:16" ht="13.5" customHeight="1" x14ac:dyDescent="0.25">
      <c r="A52" s="336" t="s">
        <v>47</v>
      </c>
      <c r="B52" s="337"/>
      <c r="C52" s="337"/>
      <c r="D52" s="337"/>
      <c r="E52" s="337"/>
      <c r="F52" s="337"/>
      <c r="G52" s="338"/>
      <c r="H52" s="63">
        <f>SUM(H44:H51)</f>
        <v>0.35880000000000006</v>
      </c>
      <c r="I52" s="69">
        <f>SUM(I44:I51)</f>
        <v>635.39688324190001</v>
      </c>
      <c r="J52" s="70"/>
    </row>
    <row r="53" spans="1:16" ht="10.5" customHeight="1" x14ac:dyDescent="0.25">
      <c r="A53" s="141"/>
      <c r="B53" s="141"/>
      <c r="C53" s="141"/>
      <c r="D53" s="141"/>
      <c r="E53" s="141"/>
      <c r="F53" s="141"/>
      <c r="G53" s="141"/>
      <c r="H53" s="141"/>
      <c r="I53" s="71"/>
      <c r="J53" s="71"/>
    </row>
    <row r="54" spans="1:16" ht="13.5" customHeight="1" x14ac:dyDescent="0.25">
      <c r="A54" s="142" t="s">
        <v>48</v>
      </c>
      <c r="B54" s="359" t="s">
        <v>49</v>
      </c>
      <c r="C54" s="359"/>
      <c r="D54" s="359"/>
      <c r="E54" s="359"/>
      <c r="F54" s="359"/>
      <c r="G54" s="359"/>
      <c r="H54" s="142" t="s">
        <v>50</v>
      </c>
      <c r="I54" s="142" t="s">
        <v>19</v>
      </c>
      <c r="J54" s="55"/>
    </row>
    <row r="55" spans="1:16" s="223" customFormat="1" ht="13.5" customHeight="1" x14ac:dyDescent="0.25">
      <c r="A55" s="219" t="s">
        <v>2</v>
      </c>
      <c r="B55" s="367" t="s">
        <v>324</v>
      </c>
      <c r="C55" s="367"/>
      <c r="D55" s="367"/>
      <c r="E55" s="367"/>
      <c r="F55" s="367"/>
      <c r="G55" s="367"/>
      <c r="H55" s="225">
        <v>5</v>
      </c>
      <c r="I55" s="226">
        <f>(H55*2*22)-(I28*6%)</f>
        <v>131.04344794000002</v>
      </c>
      <c r="J55" s="227"/>
      <c r="K55" s="224"/>
      <c r="L55" s="222"/>
      <c r="M55" s="222"/>
      <c r="N55" s="222"/>
      <c r="O55" s="222"/>
      <c r="P55" s="222"/>
    </row>
    <row r="56" spans="1:16" s="223" customFormat="1" ht="13.5" customHeight="1" x14ac:dyDescent="0.25">
      <c r="A56" s="219" t="s">
        <v>4</v>
      </c>
      <c r="B56" s="367" t="s">
        <v>322</v>
      </c>
      <c r="C56" s="367"/>
      <c r="D56" s="367"/>
      <c r="E56" s="367"/>
      <c r="F56" s="367"/>
      <c r="G56" s="367"/>
      <c r="H56" s="225">
        <v>412.05</v>
      </c>
      <c r="I56" s="220">
        <f>H56</f>
        <v>412.05</v>
      </c>
      <c r="J56" s="221"/>
      <c r="K56" s="222"/>
      <c r="L56" s="222"/>
      <c r="M56" s="222"/>
      <c r="N56" s="222"/>
      <c r="O56" s="222"/>
      <c r="P56" s="222"/>
    </row>
    <row r="57" spans="1:16" ht="13.5" customHeight="1" x14ac:dyDescent="0.25">
      <c r="A57" s="137" t="s">
        <v>6</v>
      </c>
      <c r="B57" s="369" t="s">
        <v>310</v>
      </c>
      <c r="C57" s="369"/>
      <c r="D57" s="369"/>
      <c r="E57" s="369"/>
      <c r="F57" s="369"/>
      <c r="G57" s="369"/>
      <c r="H57" s="73">
        <v>141.68</v>
      </c>
      <c r="I57" s="177">
        <f>(H57*40%)</f>
        <v>56.672000000000004</v>
      </c>
      <c r="J57" s="57"/>
      <c r="K57" s="166"/>
    </row>
    <row r="58" spans="1:16" ht="13.5" customHeight="1" x14ac:dyDescent="0.25">
      <c r="A58" s="136" t="s">
        <v>8</v>
      </c>
      <c r="B58" s="368" t="s">
        <v>252</v>
      </c>
      <c r="C58" s="368"/>
      <c r="D58" s="368"/>
      <c r="E58" s="368"/>
      <c r="F58" s="368"/>
      <c r="G58" s="368"/>
      <c r="H58" s="73">
        <f>I35</f>
        <v>1482.609201</v>
      </c>
      <c r="I58" s="74">
        <f>(H58*26)*0.002/12</f>
        <v>6.4246398710000001</v>
      </c>
      <c r="J58" s="72"/>
    </row>
    <row r="59" spans="1:16" ht="13.5" customHeight="1" x14ac:dyDescent="0.25">
      <c r="A59" s="137" t="s">
        <v>24</v>
      </c>
      <c r="B59" s="358" t="s">
        <v>203</v>
      </c>
      <c r="C59" s="358"/>
      <c r="D59" s="358"/>
      <c r="E59" s="358"/>
      <c r="F59" s="358"/>
      <c r="G59" s="358"/>
      <c r="H59" s="73">
        <v>0</v>
      </c>
      <c r="I59" s="74">
        <f>(H59*6*0.02)/12</f>
        <v>0</v>
      </c>
      <c r="J59" s="72"/>
    </row>
    <row r="60" spans="1:16" ht="13.5" customHeight="1" x14ac:dyDescent="0.25">
      <c r="A60" s="137" t="s">
        <v>26</v>
      </c>
      <c r="B60" s="369" t="s">
        <v>202</v>
      </c>
      <c r="C60" s="369"/>
      <c r="D60" s="369"/>
      <c r="E60" s="369"/>
      <c r="F60" s="369"/>
      <c r="G60" s="369"/>
      <c r="H60" s="75">
        <v>0</v>
      </c>
      <c r="I60" s="76">
        <f>H60</f>
        <v>0</v>
      </c>
      <c r="J60" s="77"/>
    </row>
    <row r="61" spans="1:16" ht="13.5" customHeight="1" x14ac:dyDescent="0.25">
      <c r="A61" s="137" t="s">
        <v>28</v>
      </c>
      <c r="B61" s="358" t="s">
        <v>51</v>
      </c>
      <c r="C61" s="358"/>
      <c r="D61" s="358"/>
      <c r="E61" s="358"/>
      <c r="F61" s="358"/>
      <c r="G61" s="358"/>
      <c r="H61" s="73">
        <v>0</v>
      </c>
      <c r="I61" s="56">
        <f>H61</f>
        <v>0</v>
      </c>
      <c r="J61" s="57"/>
    </row>
    <row r="62" spans="1:16" s="78" customFormat="1" ht="13.5" customHeight="1" x14ac:dyDescent="0.25">
      <c r="A62" s="146" t="s">
        <v>45</v>
      </c>
      <c r="B62" s="369" t="s">
        <v>209</v>
      </c>
      <c r="C62" s="369"/>
      <c r="D62" s="369"/>
      <c r="E62" s="369"/>
      <c r="F62" s="369"/>
      <c r="G62" s="369"/>
      <c r="H62" s="75">
        <v>0</v>
      </c>
      <c r="I62" s="76">
        <f>H62</f>
        <v>0</v>
      </c>
      <c r="J62" s="77"/>
      <c r="K62" s="32"/>
      <c r="L62" s="32"/>
      <c r="M62" s="32"/>
      <c r="N62" s="32"/>
      <c r="O62" s="32"/>
      <c r="P62" s="32"/>
    </row>
    <row r="63" spans="1:16" ht="13.5" customHeight="1" x14ac:dyDescent="0.25">
      <c r="A63" s="336" t="s">
        <v>52</v>
      </c>
      <c r="B63" s="337"/>
      <c r="C63" s="337"/>
      <c r="D63" s="337"/>
      <c r="E63" s="337"/>
      <c r="F63" s="337"/>
      <c r="G63" s="337"/>
      <c r="H63" s="338"/>
      <c r="I63" s="69">
        <f>TRUNC(SUM(I55:I62),2)</f>
        <v>606.19000000000005</v>
      </c>
      <c r="J63" s="70"/>
    </row>
    <row r="64" spans="1:16" ht="12" customHeight="1" x14ac:dyDescent="0.25">
      <c r="A64" s="141"/>
      <c r="B64" s="141"/>
      <c r="C64" s="141"/>
      <c r="D64" s="141"/>
      <c r="E64" s="141"/>
      <c r="F64" s="141"/>
      <c r="G64" s="141"/>
      <c r="H64" s="141"/>
      <c r="I64" s="71"/>
      <c r="J64" s="71"/>
    </row>
    <row r="65" spans="1:16" ht="13.5" customHeight="1" x14ac:dyDescent="0.25">
      <c r="A65" s="335" t="s">
        <v>53</v>
      </c>
      <c r="B65" s="335"/>
      <c r="C65" s="335"/>
      <c r="D65" s="335"/>
      <c r="E65" s="335"/>
      <c r="F65" s="335"/>
      <c r="G65" s="335"/>
      <c r="H65" s="335"/>
      <c r="I65" s="335"/>
      <c r="J65" s="55"/>
    </row>
    <row r="66" spans="1:16" ht="13.5" customHeight="1" x14ac:dyDescent="0.25">
      <c r="A66" s="79" t="s">
        <v>31</v>
      </c>
      <c r="B66" s="368" t="s">
        <v>54</v>
      </c>
      <c r="C66" s="368"/>
      <c r="D66" s="368"/>
      <c r="E66" s="368"/>
      <c r="F66" s="368"/>
      <c r="G66" s="368"/>
      <c r="H66" s="368"/>
      <c r="I66" s="56">
        <f>I41</f>
        <v>288.28512241666664</v>
      </c>
      <c r="J66" s="57"/>
    </row>
    <row r="67" spans="1:16" ht="13.5" customHeight="1" x14ac:dyDescent="0.25">
      <c r="A67" s="79" t="s">
        <v>36</v>
      </c>
      <c r="B67" s="358" t="s">
        <v>55</v>
      </c>
      <c r="C67" s="358"/>
      <c r="D67" s="358"/>
      <c r="E67" s="358"/>
      <c r="F67" s="358"/>
      <c r="G67" s="358"/>
      <c r="H67" s="358"/>
      <c r="I67" s="56">
        <f>I52</f>
        <v>635.39688324190001</v>
      </c>
      <c r="J67" s="57"/>
    </row>
    <row r="68" spans="1:16" ht="13.5" customHeight="1" x14ac:dyDescent="0.25">
      <c r="A68" s="79" t="s">
        <v>48</v>
      </c>
      <c r="B68" s="358" t="s">
        <v>56</v>
      </c>
      <c r="C68" s="358"/>
      <c r="D68" s="358"/>
      <c r="E68" s="358"/>
      <c r="F68" s="358"/>
      <c r="G68" s="358"/>
      <c r="H68" s="358"/>
      <c r="I68" s="56">
        <f>I63</f>
        <v>606.19000000000005</v>
      </c>
      <c r="J68" s="57"/>
    </row>
    <row r="69" spans="1:16" ht="13.5" customHeight="1" x14ac:dyDescent="0.25">
      <c r="A69" s="335" t="s">
        <v>57</v>
      </c>
      <c r="B69" s="335"/>
      <c r="C69" s="335"/>
      <c r="D69" s="335"/>
      <c r="E69" s="335"/>
      <c r="F69" s="335"/>
      <c r="G69" s="335"/>
      <c r="H69" s="335"/>
      <c r="I69" s="60">
        <f>SUM(I66:I68)</f>
        <v>1529.8720056585666</v>
      </c>
      <c r="J69" s="61"/>
    </row>
    <row r="70" spans="1:16" x14ac:dyDescent="0.25">
      <c r="A70" s="141"/>
      <c r="B70" s="141"/>
      <c r="C70" s="141"/>
      <c r="D70" s="141"/>
      <c r="E70" s="141"/>
      <c r="F70" s="141"/>
      <c r="G70" s="141"/>
      <c r="H70" s="141"/>
      <c r="I70" s="71"/>
      <c r="J70" s="71"/>
    </row>
    <row r="71" spans="1:16" ht="13.5" customHeight="1" x14ac:dyDescent="0.25">
      <c r="A71" s="347" t="s">
        <v>125</v>
      </c>
      <c r="B71" s="347"/>
      <c r="C71" s="347"/>
      <c r="D71" s="347"/>
      <c r="E71" s="347"/>
      <c r="F71" s="347"/>
      <c r="G71" s="347"/>
      <c r="H71" s="347"/>
      <c r="I71" s="347"/>
      <c r="J71" s="54"/>
    </row>
    <row r="72" spans="1:16" ht="13.5" customHeight="1" x14ac:dyDescent="0.25">
      <c r="A72" s="203">
        <v>3</v>
      </c>
      <c r="B72" s="366" t="s">
        <v>58</v>
      </c>
      <c r="C72" s="366"/>
      <c r="D72" s="366"/>
      <c r="E72" s="366"/>
      <c r="F72" s="366"/>
      <c r="G72" s="366"/>
      <c r="H72" s="203" t="s">
        <v>18</v>
      </c>
      <c r="I72" s="203" t="s">
        <v>19</v>
      </c>
      <c r="J72" s="55"/>
    </row>
    <row r="73" spans="1:16" s="249" customFormat="1" ht="13.5" customHeight="1" x14ac:dyDescent="0.25">
      <c r="A73" s="219" t="s">
        <v>2</v>
      </c>
      <c r="B73" s="367" t="s">
        <v>59</v>
      </c>
      <c r="C73" s="367"/>
      <c r="D73" s="367"/>
      <c r="E73" s="367"/>
      <c r="F73" s="367"/>
      <c r="G73" s="367"/>
      <c r="H73" s="250">
        <f>0.05*(1/12)/30*3</f>
        <v>4.1666666666666664E-4</v>
      </c>
      <c r="I73" s="220">
        <f t="shared" ref="I73:I78" si="1">$I$35*H73</f>
        <v>0.61775383374999993</v>
      </c>
      <c r="J73" s="247"/>
      <c r="K73" s="248"/>
      <c r="L73" s="248"/>
      <c r="M73" s="248"/>
      <c r="N73" s="248"/>
      <c r="O73" s="248"/>
      <c r="P73" s="248"/>
    </row>
    <row r="74" spans="1:16" s="83" customFormat="1" ht="13.5" customHeight="1" x14ac:dyDescent="0.25">
      <c r="A74" s="201" t="s">
        <v>4</v>
      </c>
      <c r="B74" s="364" t="s">
        <v>60</v>
      </c>
      <c r="C74" s="364"/>
      <c r="D74" s="364"/>
      <c r="E74" s="364"/>
      <c r="F74" s="364"/>
      <c r="G74" s="364"/>
      <c r="H74" s="84">
        <f>H51*H73</f>
        <v>3.3333333333333335E-5</v>
      </c>
      <c r="I74" s="81">
        <f t="shared" si="1"/>
        <v>4.94203067E-2</v>
      </c>
      <c r="J74" s="82"/>
      <c r="K74" s="21"/>
      <c r="L74" s="21"/>
      <c r="M74" s="21"/>
      <c r="N74" s="21"/>
      <c r="O74" s="21"/>
      <c r="P74" s="21"/>
    </row>
    <row r="75" spans="1:16" s="83" customFormat="1" ht="13.5" customHeight="1" x14ac:dyDescent="0.25">
      <c r="A75" s="201" t="s">
        <v>6</v>
      </c>
      <c r="B75" s="364" t="s">
        <v>61</v>
      </c>
      <c r="C75" s="364"/>
      <c r="D75" s="364"/>
      <c r="E75" s="364"/>
      <c r="F75" s="364"/>
      <c r="G75" s="364"/>
      <c r="H75" s="84">
        <f>40%*H51*5%</f>
        <v>1.6000000000000001E-3</v>
      </c>
      <c r="I75" s="81">
        <f t="shared" si="1"/>
        <v>2.3721747216</v>
      </c>
      <c r="J75" s="82"/>
      <c r="K75" s="21"/>
      <c r="L75" s="21"/>
      <c r="M75" s="21"/>
      <c r="N75" s="21"/>
      <c r="O75" s="21"/>
      <c r="P75" s="21"/>
    </row>
    <row r="76" spans="1:16" s="249" customFormat="1" ht="13.5" customHeight="1" x14ac:dyDescent="0.25">
      <c r="A76" s="219" t="s">
        <v>8</v>
      </c>
      <c r="B76" s="367" t="s">
        <v>62</v>
      </c>
      <c r="C76" s="367"/>
      <c r="D76" s="367"/>
      <c r="E76" s="367"/>
      <c r="F76" s="367"/>
      <c r="G76" s="367"/>
      <c r="H76" s="246">
        <f>(1/30)*7/12*100%/30*3</f>
        <v>1.9444444444444444E-3</v>
      </c>
      <c r="I76" s="220">
        <f t="shared" si="1"/>
        <v>2.8828512241666666</v>
      </c>
      <c r="J76" s="247"/>
      <c r="K76" s="248"/>
      <c r="L76" s="248"/>
      <c r="M76" s="248"/>
      <c r="N76" s="248"/>
      <c r="O76" s="248"/>
      <c r="P76" s="248"/>
    </row>
    <row r="77" spans="1:16" s="83" customFormat="1" ht="13.5" customHeight="1" x14ac:dyDescent="0.25">
      <c r="A77" s="201" t="s">
        <v>24</v>
      </c>
      <c r="B77" s="364" t="s">
        <v>63</v>
      </c>
      <c r="C77" s="364"/>
      <c r="D77" s="364"/>
      <c r="E77" s="364"/>
      <c r="F77" s="364"/>
      <c r="G77" s="364"/>
      <c r="H77" s="85">
        <f>H52*H76</f>
        <v>6.9766666666666675E-4</v>
      </c>
      <c r="I77" s="81">
        <f t="shared" si="1"/>
        <v>1.0343670192310002</v>
      </c>
      <c r="J77" s="82"/>
      <c r="K77" s="21"/>
      <c r="L77" s="21"/>
      <c r="M77" s="21"/>
      <c r="N77" s="21"/>
      <c r="O77" s="21"/>
      <c r="P77" s="21"/>
    </row>
    <row r="78" spans="1:16" s="83" customFormat="1" ht="13.5" customHeight="1" x14ac:dyDescent="0.25">
      <c r="A78" s="201" t="s">
        <v>26</v>
      </c>
      <c r="B78" s="364" t="s">
        <v>64</v>
      </c>
      <c r="C78" s="364"/>
      <c r="D78" s="364"/>
      <c r="E78" s="364"/>
      <c r="F78" s="364"/>
      <c r="G78" s="364"/>
      <c r="H78" s="80">
        <f>40%*H51*95%</f>
        <v>3.04E-2</v>
      </c>
      <c r="I78" s="81">
        <f t="shared" si="1"/>
        <v>45.071319710399997</v>
      </c>
      <c r="J78" s="82"/>
      <c r="K78" s="129"/>
      <c r="L78" s="21"/>
      <c r="M78" s="21"/>
      <c r="N78" s="21"/>
      <c r="O78" s="21"/>
      <c r="P78" s="21"/>
    </row>
    <row r="79" spans="1:16" ht="13.5" customHeight="1" x14ac:dyDescent="0.25">
      <c r="A79" s="336" t="s">
        <v>65</v>
      </c>
      <c r="B79" s="337"/>
      <c r="C79" s="337"/>
      <c r="D79" s="337"/>
      <c r="E79" s="337"/>
      <c r="F79" s="337"/>
      <c r="G79" s="338"/>
      <c r="H79" s="63">
        <f>SUM(H73:H78)</f>
        <v>3.5092111111111109E-2</v>
      </c>
      <c r="I79" s="60">
        <f>SUM(I73:I78)</f>
        <v>52.027886815847666</v>
      </c>
      <c r="J79" s="61"/>
    </row>
    <row r="80" spans="1:16" x14ac:dyDescent="0.25">
      <c r="A80" s="141"/>
      <c r="B80" s="365"/>
      <c r="C80" s="365"/>
      <c r="D80" s="365"/>
      <c r="E80" s="365"/>
      <c r="F80" s="365"/>
      <c r="G80" s="365"/>
      <c r="H80" s="365"/>
      <c r="I80" s="144"/>
      <c r="J80" s="144"/>
    </row>
    <row r="81" spans="1:16" ht="13.5" customHeight="1" x14ac:dyDescent="0.25">
      <c r="A81" s="347" t="s">
        <v>126</v>
      </c>
      <c r="B81" s="347"/>
      <c r="C81" s="347"/>
      <c r="D81" s="347"/>
      <c r="E81" s="347"/>
      <c r="F81" s="347"/>
      <c r="G81" s="347"/>
      <c r="H81" s="347"/>
      <c r="I81" s="347"/>
      <c r="J81" s="54"/>
    </row>
    <row r="82" spans="1:16" ht="13.5" customHeight="1" x14ac:dyDescent="0.25">
      <c r="A82" s="142" t="s">
        <v>66</v>
      </c>
      <c r="B82" s="359" t="s">
        <v>67</v>
      </c>
      <c r="C82" s="359"/>
      <c r="D82" s="359"/>
      <c r="E82" s="359"/>
      <c r="F82" s="359"/>
      <c r="G82" s="359"/>
      <c r="H82" s="142" t="s">
        <v>18</v>
      </c>
      <c r="I82" s="142" t="s">
        <v>19</v>
      </c>
      <c r="J82" s="55"/>
    </row>
    <row r="83" spans="1:16" ht="13.5" customHeight="1" x14ac:dyDescent="0.25">
      <c r="A83" s="137" t="s">
        <v>2</v>
      </c>
      <c r="B83" s="334" t="s">
        <v>68</v>
      </c>
      <c r="C83" s="334"/>
      <c r="D83" s="334"/>
      <c r="E83" s="334"/>
      <c r="F83" s="334"/>
      <c r="G83" s="334"/>
      <c r="H83" s="86">
        <f>(( 1+1/3)/12)/12</f>
        <v>9.2592592592592587E-3</v>
      </c>
      <c r="I83" s="56">
        <f>SUM($I$35,$I$69,$I$79)*H83</f>
        <v>28.375084198837165</v>
      </c>
      <c r="J83" s="57"/>
    </row>
    <row r="84" spans="1:16" s="223" customFormat="1" ht="13.5" customHeight="1" x14ac:dyDescent="0.25">
      <c r="A84" s="219" t="s">
        <v>4</v>
      </c>
      <c r="B84" s="355" t="s">
        <v>69</v>
      </c>
      <c r="C84" s="355"/>
      <c r="D84" s="355"/>
      <c r="E84" s="355"/>
      <c r="F84" s="355"/>
      <c r="G84" s="355"/>
      <c r="H84" s="250">
        <v>0</v>
      </c>
      <c r="I84" s="220">
        <f>SUM($I$35,$I$69,$I$79)*H84</f>
        <v>0</v>
      </c>
      <c r="J84" s="221"/>
      <c r="K84" s="222"/>
      <c r="L84" s="222"/>
      <c r="M84" s="222"/>
      <c r="N84" s="222"/>
      <c r="O84" s="222"/>
      <c r="P84" s="222"/>
    </row>
    <row r="85" spans="1:16" s="223" customFormat="1" ht="13.5" customHeight="1" x14ac:dyDescent="0.25">
      <c r="A85" s="219" t="s">
        <v>6</v>
      </c>
      <c r="B85" s="355" t="s">
        <v>70</v>
      </c>
      <c r="C85" s="355"/>
      <c r="D85" s="355"/>
      <c r="E85" s="355"/>
      <c r="F85" s="355"/>
      <c r="G85" s="355"/>
      <c r="H85" s="250">
        <v>0</v>
      </c>
      <c r="I85" s="220">
        <f>SUM($I$35,$I$69,$I$79)*H85</f>
        <v>0</v>
      </c>
      <c r="J85" s="221"/>
      <c r="K85" s="222"/>
      <c r="L85" s="222"/>
      <c r="M85" s="222"/>
      <c r="N85" s="222"/>
      <c r="O85" s="222"/>
      <c r="P85" s="222"/>
    </row>
    <row r="86" spans="1:16" s="223" customFormat="1" ht="13.5" customHeight="1" x14ac:dyDescent="0.25">
      <c r="A86" s="219" t="s">
        <v>8</v>
      </c>
      <c r="B86" s="355" t="s">
        <v>71</v>
      </c>
      <c r="C86" s="355"/>
      <c r="D86" s="355"/>
      <c r="E86" s="355"/>
      <c r="F86" s="355"/>
      <c r="G86" s="355"/>
      <c r="H86" s="250">
        <v>0</v>
      </c>
      <c r="I86" s="220">
        <f>SUM($I$35,$I$69,$I$79)*H86</f>
        <v>0</v>
      </c>
      <c r="J86" s="221"/>
      <c r="K86" s="222"/>
      <c r="L86" s="222"/>
      <c r="M86" s="222"/>
      <c r="N86" s="222"/>
      <c r="O86" s="222"/>
      <c r="P86" s="222"/>
    </row>
    <row r="87" spans="1:16" s="223" customFormat="1" ht="13.5" customHeight="1" x14ac:dyDescent="0.25">
      <c r="A87" s="219" t="s">
        <v>24</v>
      </c>
      <c r="B87" s="355" t="s">
        <v>72</v>
      </c>
      <c r="C87" s="355"/>
      <c r="D87" s="355"/>
      <c r="E87" s="355"/>
      <c r="F87" s="355"/>
      <c r="G87" s="355"/>
      <c r="H87" s="250">
        <v>0</v>
      </c>
      <c r="I87" s="220">
        <f>SUM($I$35,$I$69,$I$79)*H87</f>
        <v>0</v>
      </c>
      <c r="J87" s="221"/>
      <c r="K87" s="222"/>
      <c r="L87" s="222"/>
      <c r="M87" s="222"/>
      <c r="N87" s="222"/>
      <c r="O87" s="222"/>
      <c r="P87" s="222"/>
    </row>
    <row r="88" spans="1:16" s="223" customFormat="1" ht="13.5" customHeight="1" x14ac:dyDescent="0.25">
      <c r="A88" s="219" t="s">
        <v>26</v>
      </c>
      <c r="B88" s="355" t="s">
        <v>134</v>
      </c>
      <c r="C88" s="355"/>
      <c r="D88" s="355"/>
      <c r="E88" s="355"/>
      <c r="F88" s="355"/>
      <c r="G88" s="355"/>
      <c r="H88" s="246">
        <v>0</v>
      </c>
      <c r="I88" s="220">
        <f t="shared" ref="I88" si="2">SUM($I$35,$I$69,$I$79)*H88</f>
        <v>0</v>
      </c>
      <c r="J88" s="221"/>
      <c r="K88" s="222"/>
      <c r="L88" s="222"/>
      <c r="M88" s="222"/>
      <c r="N88" s="222"/>
      <c r="O88" s="222"/>
      <c r="P88" s="222"/>
    </row>
    <row r="89" spans="1:16" ht="13.5" customHeight="1" x14ac:dyDescent="0.25">
      <c r="A89" s="87"/>
      <c r="B89" s="359" t="s">
        <v>73</v>
      </c>
      <c r="C89" s="359"/>
      <c r="D89" s="359"/>
      <c r="E89" s="359"/>
      <c r="F89" s="359"/>
      <c r="G89" s="359"/>
      <c r="H89" s="88">
        <f>SUM(H83:H88)</f>
        <v>9.2592592592592587E-3</v>
      </c>
      <c r="I89" s="64">
        <f>SUM(I83:I88)</f>
        <v>28.375084198837165</v>
      </c>
      <c r="J89" s="65"/>
      <c r="K89" s="31"/>
      <c r="L89" s="33"/>
      <c r="M89" s="34"/>
    </row>
    <row r="90" spans="1:16" ht="5.25" customHeight="1" x14ac:dyDescent="0.25">
      <c r="A90" s="89"/>
      <c r="B90" s="329"/>
      <c r="C90" s="329"/>
      <c r="D90" s="329"/>
      <c r="E90" s="329"/>
      <c r="F90" s="329"/>
      <c r="G90" s="330"/>
      <c r="H90" s="330"/>
      <c r="I90" s="72"/>
      <c r="J90" s="72"/>
    </row>
    <row r="91" spans="1:16" ht="13.5" customHeight="1" x14ac:dyDescent="0.25">
      <c r="A91" s="142" t="s">
        <v>74</v>
      </c>
      <c r="B91" s="360" t="s">
        <v>75</v>
      </c>
      <c r="C91" s="361"/>
      <c r="D91" s="361"/>
      <c r="E91" s="361"/>
      <c r="F91" s="361"/>
      <c r="G91" s="361"/>
      <c r="H91" s="362"/>
      <c r="I91" s="142" t="s">
        <v>19</v>
      </c>
      <c r="J91" s="55"/>
    </row>
    <row r="92" spans="1:16" ht="13.5" customHeight="1" x14ac:dyDescent="0.25">
      <c r="A92" s="137" t="s">
        <v>2</v>
      </c>
      <c r="B92" s="339" t="s">
        <v>208</v>
      </c>
      <c r="C92" s="340"/>
      <c r="D92" s="340"/>
      <c r="E92" s="340"/>
      <c r="F92" s="340"/>
      <c r="G92" s="340"/>
      <c r="H92" s="363"/>
      <c r="I92" s="90">
        <v>0</v>
      </c>
      <c r="J92" s="91"/>
    </row>
    <row r="93" spans="1:16" ht="13.5" customHeight="1" x14ac:dyDescent="0.25">
      <c r="A93" s="87"/>
      <c r="B93" s="336" t="s">
        <v>76</v>
      </c>
      <c r="C93" s="337"/>
      <c r="D93" s="337"/>
      <c r="E93" s="337"/>
      <c r="F93" s="337"/>
      <c r="G93" s="337"/>
      <c r="H93" s="338"/>
      <c r="I93" s="64">
        <f>SUM(I92)</f>
        <v>0</v>
      </c>
      <c r="J93" s="65"/>
    </row>
    <row r="94" spans="1:16" x14ac:dyDescent="0.25">
      <c r="A94" s="89"/>
      <c r="B94" s="329"/>
      <c r="C94" s="329"/>
      <c r="D94" s="329"/>
      <c r="E94" s="329"/>
      <c r="F94" s="329"/>
      <c r="G94" s="330"/>
      <c r="H94" s="330"/>
      <c r="I94" s="72"/>
      <c r="J94" s="72"/>
    </row>
    <row r="95" spans="1:16" ht="13.5" customHeight="1" x14ac:dyDescent="0.25">
      <c r="A95" s="356" t="s">
        <v>77</v>
      </c>
      <c r="B95" s="356"/>
      <c r="C95" s="356"/>
      <c r="D95" s="356"/>
      <c r="E95" s="356"/>
      <c r="F95" s="356"/>
      <c r="G95" s="356"/>
      <c r="H95" s="356"/>
      <c r="I95" s="356"/>
      <c r="J95" s="49"/>
    </row>
    <row r="96" spans="1:16" ht="13.5" customHeight="1" x14ac:dyDescent="0.25">
      <c r="A96" s="79" t="s">
        <v>66</v>
      </c>
      <c r="B96" s="357" t="s">
        <v>69</v>
      </c>
      <c r="C96" s="357"/>
      <c r="D96" s="357"/>
      <c r="E96" s="357"/>
      <c r="F96" s="357"/>
      <c r="G96" s="357"/>
      <c r="H96" s="357"/>
      <c r="I96" s="56">
        <f>I89</f>
        <v>28.375084198837165</v>
      </c>
      <c r="J96" s="57"/>
    </row>
    <row r="97" spans="1:16" ht="13.5" customHeight="1" x14ac:dyDescent="0.25">
      <c r="A97" s="79" t="s">
        <v>74</v>
      </c>
      <c r="B97" s="358" t="s">
        <v>78</v>
      </c>
      <c r="C97" s="358"/>
      <c r="D97" s="358"/>
      <c r="E97" s="358"/>
      <c r="F97" s="358"/>
      <c r="G97" s="358"/>
      <c r="H97" s="358"/>
      <c r="I97" s="56">
        <f>I93</f>
        <v>0</v>
      </c>
      <c r="J97" s="57"/>
    </row>
    <row r="98" spans="1:16" ht="13.5" customHeight="1" x14ac:dyDescent="0.25">
      <c r="A98" s="335" t="s">
        <v>79</v>
      </c>
      <c r="B98" s="335"/>
      <c r="C98" s="335"/>
      <c r="D98" s="335"/>
      <c r="E98" s="335"/>
      <c r="F98" s="335"/>
      <c r="G98" s="335"/>
      <c r="H98" s="335"/>
      <c r="I98" s="60">
        <f>SUM(I96:I97)</f>
        <v>28.375084198837165</v>
      </c>
      <c r="J98" s="61"/>
    </row>
    <row r="99" spans="1:16" x14ac:dyDescent="0.25">
      <c r="A99" s="89"/>
      <c r="B99" s="329"/>
      <c r="C99" s="329"/>
      <c r="D99" s="329"/>
      <c r="E99" s="329"/>
      <c r="F99" s="329"/>
      <c r="G99" s="330"/>
      <c r="H99" s="330"/>
      <c r="I99" s="72"/>
      <c r="J99" s="72"/>
    </row>
    <row r="100" spans="1:16" ht="13.5" customHeight="1" x14ac:dyDescent="0.25">
      <c r="A100" s="347" t="s">
        <v>128</v>
      </c>
      <c r="B100" s="347"/>
      <c r="C100" s="347"/>
      <c r="D100" s="347"/>
      <c r="E100" s="347"/>
      <c r="F100" s="347"/>
      <c r="G100" s="347"/>
      <c r="H100" s="347"/>
      <c r="I100" s="347"/>
      <c r="J100" s="54"/>
    </row>
    <row r="101" spans="1:16" ht="13.5" customHeight="1" x14ac:dyDescent="0.25">
      <c r="A101" s="142">
        <v>5</v>
      </c>
      <c r="B101" s="335" t="s">
        <v>80</v>
      </c>
      <c r="C101" s="335"/>
      <c r="D101" s="335"/>
      <c r="E101" s="335"/>
      <c r="F101" s="335"/>
      <c r="G101" s="335"/>
      <c r="H101" s="335"/>
      <c r="I101" s="142" t="s">
        <v>19</v>
      </c>
      <c r="J101" s="55"/>
    </row>
    <row r="102" spans="1:16" ht="13.5" customHeight="1" x14ac:dyDescent="0.25">
      <c r="A102" s="137" t="s">
        <v>2</v>
      </c>
      <c r="B102" s="349" t="s">
        <v>142</v>
      </c>
      <c r="C102" s="349"/>
      <c r="D102" s="349"/>
      <c r="E102" s="349"/>
      <c r="F102" s="349"/>
      <c r="G102" s="349"/>
      <c r="H102" s="349"/>
      <c r="I102" s="92">
        <f>UNIF!G20</f>
        <v>30.504843490153849</v>
      </c>
      <c r="J102" s="93"/>
    </row>
    <row r="103" spans="1:16" ht="13.5" customHeight="1" x14ac:dyDescent="0.25">
      <c r="A103" s="137" t="s">
        <v>4</v>
      </c>
      <c r="B103" s="349" t="s">
        <v>81</v>
      </c>
      <c r="C103" s="349"/>
      <c r="D103" s="349"/>
      <c r="E103" s="349"/>
      <c r="F103" s="349"/>
      <c r="G103" s="349"/>
      <c r="H103" s="349"/>
      <c r="I103" s="92">
        <v>0</v>
      </c>
      <c r="J103" s="93"/>
    </row>
    <row r="104" spans="1:16" ht="13.5" customHeight="1" x14ac:dyDescent="0.25">
      <c r="A104" s="137" t="s">
        <v>6</v>
      </c>
      <c r="B104" s="349" t="s">
        <v>206</v>
      </c>
      <c r="C104" s="349"/>
      <c r="D104" s="349"/>
      <c r="E104" s="349"/>
      <c r="F104" s="349"/>
      <c r="G104" s="349"/>
      <c r="H104" s="349"/>
      <c r="I104" s="92">
        <f>UNIF!G29</f>
        <v>10.846166574276925</v>
      </c>
      <c r="J104" s="93"/>
    </row>
    <row r="105" spans="1:16" s="78" customFormat="1" ht="13.5" customHeight="1" x14ac:dyDescent="0.25">
      <c r="A105" s="146" t="s">
        <v>8</v>
      </c>
      <c r="B105" s="350" t="s">
        <v>132</v>
      </c>
      <c r="C105" s="351"/>
      <c r="D105" s="351"/>
      <c r="E105" s="351"/>
      <c r="F105" s="351"/>
      <c r="G105" s="351"/>
      <c r="H105" s="352"/>
      <c r="I105" s="76">
        <v>0</v>
      </c>
      <c r="J105" s="77"/>
      <c r="K105" s="32"/>
      <c r="L105" s="32"/>
      <c r="M105" s="32"/>
      <c r="N105" s="32"/>
      <c r="O105" s="32"/>
      <c r="P105" s="32"/>
    </row>
    <row r="106" spans="1:16" ht="13.5" customHeight="1" x14ac:dyDescent="0.25">
      <c r="A106" s="335" t="s">
        <v>82</v>
      </c>
      <c r="B106" s="335"/>
      <c r="C106" s="335"/>
      <c r="D106" s="335"/>
      <c r="E106" s="335"/>
      <c r="F106" s="335"/>
      <c r="G106" s="335"/>
      <c r="H106" s="335"/>
      <c r="I106" s="60">
        <f>SUM(I102:I105)</f>
        <v>41.351010064430774</v>
      </c>
      <c r="J106" s="61"/>
    </row>
    <row r="107" spans="1:16" x14ac:dyDescent="0.25">
      <c r="A107" s="353"/>
      <c r="B107" s="353"/>
      <c r="C107" s="353"/>
      <c r="D107" s="353"/>
      <c r="E107" s="353"/>
      <c r="F107" s="353"/>
      <c r="G107" s="354"/>
      <c r="H107" s="354"/>
      <c r="I107" s="66"/>
      <c r="J107" s="66"/>
    </row>
    <row r="108" spans="1:16" ht="13.5" customHeight="1" x14ac:dyDescent="0.25">
      <c r="A108" s="347" t="s">
        <v>129</v>
      </c>
      <c r="B108" s="347"/>
      <c r="C108" s="347"/>
      <c r="D108" s="347"/>
      <c r="E108" s="347"/>
      <c r="F108" s="347"/>
      <c r="G108" s="347"/>
      <c r="H108" s="347"/>
      <c r="I108" s="347"/>
      <c r="J108" s="54"/>
    </row>
    <row r="109" spans="1:16" ht="13.5" customHeight="1" x14ac:dyDescent="0.25">
      <c r="A109" s="142">
        <v>6</v>
      </c>
      <c r="B109" s="335" t="s">
        <v>83</v>
      </c>
      <c r="C109" s="335"/>
      <c r="D109" s="335"/>
      <c r="E109" s="335"/>
      <c r="F109" s="335"/>
      <c r="G109" s="335"/>
      <c r="H109" s="142" t="s">
        <v>18</v>
      </c>
      <c r="I109" s="142" t="s">
        <v>19</v>
      </c>
      <c r="J109" s="55"/>
    </row>
    <row r="110" spans="1:16" s="83" customFormat="1" ht="13.5" customHeight="1" x14ac:dyDescent="0.25">
      <c r="A110" s="145" t="s">
        <v>2</v>
      </c>
      <c r="B110" s="348" t="s">
        <v>84</v>
      </c>
      <c r="C110" s="348"/>
      <c r="D110" s="348"/>
      <c r="E110" s="348"/>
      <c r="F110" s="348"/>
      <c r="G110" s="348"/>
      <c r="H110" s="94">
        <v>1.4999999999999999E-2</v>
      </c>
      <c r="I110" s="95">
        <f>SUM($I$129)*H110</f>
        <v>47.013527816065228</v>
      </c>
      <c r="J110" s="96"/>
      <c r="K110" s="178" t="s">
        <v>312</v>
      </c>
      <c r="L110" s="180">
        <v>2702.74</v>
      </c>
      <c r="M110" s="180"/>
      <c r="N110" s="21"/>
      <c r="O110" s="21"/>
      <c r="P110" s="21"/>
    </row>
    <row r="111" spans="1:16" s="83" customFormat="1" ht="13.5" customHeight="1" x14ac:dyDescent="0.25">
      <c r="A111" s="145" t="s">
        <v>4</v>
      </c>
      <c r="B111" s="348" t="s">
        <v>85</v>
      </c>
      <c r="C111" s="348"/>
      <c r="D111" s="348"/>
      <c r="E111" s="348"/>
      <c r="F111" s="348"/>
      <c r="G111" s="348"/>
      <c r="H111" s="94">
        <v>1.3101E-2</v>
      </c>
      <c r="I111" s="95">
        <f>SUM($I$129,I110)*H111</f>
        <v>41.677539422469636</v>
      </c>
      <c r="J111" s="96"/>
      <c r="K111" s="178" t="s">
        <v>313</v>
      </c>
      <c r="L111" s="180">
        <f>PROPOSTA!I42</f>
        <v>3447.2</v>
      </c>
      <c r="M111" s="180"/>
      <c r="N111" s="21"/>
      <c r="O111" s="21"/>
      <c r="P111" s="21"/>
    </row>
    <row r="112" spans="1:16" ht="13.5" customHeight="1" x14ac:dyDescent="0.25">
      <c r="A112" s="137"/>
      <c r="B112" s="342"/>
      <c r="C112" s="342"/>
      <c r="D112" s="342"/>
      <c r="E112" s="343" t="s">
        <v>86</v>
      </c>
      <c r="F112" s="343"/>
      <c r="G112" s="343"/>
      <c r="H112" s="343"/>
      <c r="I112" s="97"/>
      <c r="J112" s="98"/>
      <c r="L112" s="181">
        <f>L110-L111</f>
        <v>-744.46</v>
      </c>
      <c r="M112" s="181"/>
    </row>
    <row r="113" spans="1:10" ht="13.5" customHeight="1" x14ac:dyDescent="0.25">
      <c r="A113" s="137" t="s">
        <v>6</v>
      </c>
      <c r="B113" s="344" t="s">
        <v>87</v>
      </c>
      <c r="C113" s="344"/>
      <c r="D113" s="344"/>
      <c r="E113" s="345">
        <f>SUM(H115,H116,H119)</f>
        <v>6.5060000000000007E-2</v>
      </c>
      <c r="F113" s="346"/>
      <c r="G113" s="345">
        <f>1-((H115+H116+H119))</f>
        <v>0.93493999999999999</v>
      </c>
      <c r="H113" s="346"/>
      <c r="I113" s="99"/>
      <c r="J113" s="100"/>
    </row>
    <row r="114" spans="1:10" ht="13.5" customHeight="1" x14ac:dyDescent="0.25">
      <c r="A114" s="137" t="s">
        <v>88</v>
      </c>
      <c r="B114" s="339" t="s">
        <v>89</v>
      </c>
      <c r="C114" s="340"/>
      <c r="D114" s="340"/>
      <c r="E114" s="340"/>
      <c r="F114" s="340"/>
      <c r="G114" s="340"/>
      <c r="H114" s="340"/>
      <c r="I114" s="101"/>
      <c r="J114" s="102"/>
    </row>
    <row r="115" spans="1:10" ht="13.5" customHeight="1" x14ac:dyDescent="0.25">
      <c r="A115" s="103" t="s">
        <v>90</v>
      </c>
      <c r="B115" s="341" t="s">
        <v>91</v>
      </c>
      <c r="C115" s="341"/>
      <c r="D115" s="341"/>
      <c r="E115" s="341"/>
      <c r="F115" s="341"/>
      <c r="G115" s="341"/>
      <c r="H115" s="104">
        <v>2.6800000000000001E-3</v>
      </c>
      <c r="I115" s="97">
        <f>SUM($I$129,$I$110,$I$111)*H115/(1-$E$113)</f>
        <v>9.2384991158109191</v>
      </c>
      <c r="J115" s="98"/>
    </row>
    <row r="116" spans="1:10" ht="13.5" customHeight="1" x14ac:dyDescent="0.25">
      <c r="A116" s="103" t="s">
        <v>92</v>
      </c>
      <c r="B116" s="341" t="s">
        <v>93</v>
      </c>
      <c r="C116" s="341"/>
      <c r="D116" s="341"/>
      <c r="E116" s="341"/>
      <c r="F116" s="341"/>
      <c r="G116" s="341"/>
      <c r="H116" s="104">
        <v>1.238E-2</v>
      </c>
      <c r="I116" s="97">
        <f>SUM($I$129,$I$110,$I$111)*H116/(1-$E$113)</f>
        <v>42.676350393186262</v>
      </c>
      <c r="J116" s="98"/>
    </row>
    <row r="117" spans="1:10" ht="13.5" customHeight="1" x14ac:dyDescent="0.25">
      <c r="A117" s="137" t="s">
        <v>94</v>
      </c>
      <c r="B117" s="339" t="s">
        <v>95</v>
      </c>
      <c r="C117" s="340"/>
      <c r="D117" s="340"/>
      <c r="E117" s="340"/>
      <c r="F117" s="340"/>
      <c r="G117" s="340"/>
      <c r="H117" s="340"/>
      <c r="I117" s="101"/>
      <c r="J117" s="102"/>
    </row>
    <row r="118" spans="1:10" ht="13.5" customHeight="1" x14ac:dyDescent="0.25">
      <c r="A118" s="137" t="s">
        <v>96</v>
      </c>
      <c r="B118" s="339" t="s">
        <v>97</v>
      </c>
      <c r="C118" s="340"/>
      <c r="D118" s="340"/>
      <c r="E118" s="340"/>
      <c r="F118" s="340"/>
      <c r="G118" s="340"/>
      <c r="H118" s="340"/>
      <c r="I118" s="101"/>
      <c r="J118" s="102"/>
    </row>
    <row r="119" spans="1:10" ht="13.5" customHeight="1" x14ac:dyDescent="0.25">
      <c r="A119" s="103" t="s">
        <v>98</v>
      </c>
      <c r="B119" s="341" t="s">
        <v>99</v>
      </c>
      <c r="C119" s="341"/>
      <c r="D119" s="341"/>
      <c r="E119" s="341"/>
      <c r="F119" s="341"/>
      <c r="G119" s="341"/>
      <c r="H119" s="105">
        <v>0.05</v>
      </c>
      <c r="I119" s="97">
        <f>SUM($I$129,$I$110,$I$111)*H119/(1-$E$113)</f>
        <v>172.36005813080072</v>
      </c>
      <c r="J119" s="98"/>
    </row>
    <row r="120" spans="1:10" ht="13.5" customHeight="1" x14ac:dyDescent="0.25">
      <c r="A120" s="335" t="s">
        <v>100</v>
      </c>
      <c r="B120" s="335"/>
      <c r="C120" s="335"/>
      <c r="D120" s="335"/>
      <c r="E120" s="335"/>
      <c r="F120" s="335"/>
      <c r="G120" s="335"/>
      <c r="H120" s="335"/>
      <c r="I120" s="60">
        <f>SUM(I110:I119)</f>
        <v>312.96597487833276</v>
      </c>
      <c r="J120" s="61"/>
    </row>
    <row r="121" spans="1:10" x14ac:dyDescent="0.25">
      <c r="A121" s="89"/>
      <c r="B121" s="329"/>
      <c r="C121" s="329"/>
      <c r="D121" s="329"/>
      <c r="E121" s="329"/>
      <c r="F121" s="329"/>
      <c r="G121" s="330"/>
      <c r="H121" s="330"/>
      <c r="I121" s="72"/>
      <c r="J121" s="72"/>
    </row>
    <row r="122" spans="1:10" ht="13.5" customHeight="1" x14ac:dyDescent="0.25">
      <c r="A122" s="325" t="s">
        <v>101</v>
      </c>
      <c r="B122" s="325"/>
      <c r="C122" s="325"/>
      <c r="D122" s="325"/>
      <c r="E122" s="325"/>
      <c r="F122" s="325"/>
      <c r="G122" s="325"/>
      <c r="H122" s="325"/>
      <c r="I122" s="325"/>
      <c r="J122" s="106"/>
    </row>
    <row r="123" spans="1:10" ht="13.5" customHeight="1" x14ac:dyDescent="0.25">
      <c r="A123" s="142"/>
      <c r="B123" s="336" t="s">
        <v>102</v>
      </c>
      <c r="C123" s="337"/>
      <c r="D123" s="337"/>
      <c r="E123" s="337"/>
      <c r="F123" s="337"/>
      <c r="G123" s="337"/>
      <c r="H123" s="338"/>
      <c r="I123" s="142" t="s">
        <v>19</v>
      </c>
      <c r="J123" s="55"/>
    </row>
    <row r="124" spans="1:10" ht="13.5" customHeight="1" x14ac:dyDescent="0.25">
      <c r="A124" s="137" t="s">
        <v>2</v>
      </c>
      <c r="B124" s="333" t="s">
        <v>103</v>
      </c>
      <c r="C124" s="333"/>
      <c r="D124" s="333"/>
      <c r="E124" s="333"/>
      <c r="F124" s="333"/>
      <c r="G124" s="333"/>
      <c r="H124" s="333"/>
      <c r="I124" s="56">
        <f>I35</f>
        <v>1482.609201</v>
      </c>
      <c r="J124" s="57"/>
    </row>
    <row r="125" spans="1:10" ht="13.5" customHeight="1" x14ac:dyDescent="0.25">
      <c r="A125" s="137" t="s">
        <v>4</v>
      </c>
      <c r="B125" s="333" t="s">
        <v>104</v>
      </c>
      <c r="C125" s="333"/>
      <c r="D125" s="333"/>
      <c r="E125" s="333"/>
      <c r="F125" s="333"/>
      <c r="G125" s="333"/>
      <c r="H125" s="333"/>
      <c r="I125" s="56">
        <f>I69</f>
        <v>1529.8720056585666</v>
      </c>
      <c r="J125" s="57"/>
    </row>
    <row r="126" spans="1:10" ht="13.5" customHeight="1" x14ac:dyDescent="0.25">
      <c r="A126" s="137" t="s">
        <v>6</v>
      </c>
      <c r="B126" s="333" t="s">
        <v>105</v>
      </c>
      <c r="C126" s="333"/>
      <c r="D126" s="333"/>
      <c r="E126" s="333"/>
      <c r="F126" s="333"/>
      <c r="G126" s="333"/>
      <c r="H126" s="333"/>
      <c r="I126" s="56">
        <f>I79</f>
        <v>52.027886815847666</v>
      </c>
      <c r="J126" s="57"/>
    </row>
    <row r="127" spans="1:10" ht="13.5" customHeight="1" x14ac:dyDescent="0.25">
      <c r="A127" s="137" t="s">
        <v>8</v>
      </c>
      <c r="B127" s="333" t="s">
        <v>106</v>
      </c>
      <c r="C127" s="333"/>
      <c r="D127" s="333"/>
      <c r="E127" s="333"/>
      <c r="F127" s="333"/>
      <c r="G127" s="333"/>
      <c r="H127" s="333"/>
      <c r="I127" s="56">
        <f>I98</f>
        <v>28.375084198837165</v>
      </c>
      <c r="J127" s="57"/>
    </row>
    <row r="128" spans="1:10" ht="13.5" customHeight="1" x14ac:dyDescent="0.25">
      <c r="A128" s="137" t="s">
        <v>24</v>
      </c>
      <c r="B128" s="333" t="s">
        <v>107</v>
      </c>
      <c r="C128" s="333"/>
      <c r="D128" s="333"/>
      <c r="E128" s="333"/>
      <c r="F128" s="333"/>
      <c r="G128" s="333"/>
      <c r="H128" s="333"/>
      <c r="I128" s="56">
        <f>I106</f>
        <v>41.351010064430774</v>
      </c>
      <c r="J128" s="57"/>
    </row>
    <row r="129" spans="1:12" ht="13.5" customHeight="1" x14ac:dyDescent="0.25">
      <c r="A129" s="328" t="s">
        <v>108</v>
      </c>
      <c r="B129" s="328"/>
      <c r="C129" s="328"/>
      <c r="D129" s="328"/>
      <c r="E129" s="328"/>
      <c r="F129" s="328"/>
      <c r="G129" s="328"/>
      <c r="H129" s="328"/>
      <c r="I129" s="107">
        <f>SUM(I124:I128)</f>
        <v>3134.2351877376818</v>
      </c>
      <c r="J129" s="108"/>
    </row>
    <row r="130" spans="1:12" ht="13.5" customHeight="1" x14ac:dyDescent="0.25">
      <c r="A130" s="137" t="s">
        <v>26</v>
      </c>
      <c r="B130" s="334" t="s">
        <v>109</v>
      </c>
      <c r="C130" s="334"/>
      <c r="D130" s="334"/>
      <c r="E130" s="334"/>
      <c r="F130" s="334"/>
      <c r="G130" s="334"/>
      <c r="H130" s="334"/>
      <c r="I130" s="56">
        <f>I120</f>
        <v>312.96597487833276</v>
      </c>
      <c r="J130" s="57"/>
    </row>
    <row r="131" spans="1:12" ht="13.5" customHeight="1" x14ac:dyDescent="0.25">
      <c r="A131" s="328" t="s">
        <v>110</v>
      </c>
      <c r="B131" s="328"/>
      <c r="C131" s="328"/>
      <c r="D131" s="328"/>
      <c r="E131" s="328"/>
      <c r="F131" s="328"/>
      <c r="G131" s="328"/>
      <c r="H131" s="328"/>
      <c r="I131" s="109">
        <f>TRUNC(SUM(I129:I130),2)</f>
        <v>3447.2</v>
      </c>
      <c r="J131" s="110"/>
      <c r="K131" s="35">
        <f>SUM(I35,I69,I79,I98,I106,I110,I111)/G113</f>
        <v>3447.2011626160147</v>
      </c>
    </row>
    <row r="132" spans="1:12" ht="13.5" customHeight="1" x14ac:dyDescent="0.25">
      <c r="A132" s="89"/>
      <c r="B132" s="329"/>
      <c r="C132" s="329"/>
      <c r="D132" s="329"/>
      <c r="E132" s="329"/>
      <c r="F132" s="329"/>
      <c r="G132" s="330"/>
      <c r="H132" s="330"/>
      <c r="I132" s="72"/>
      <c r="J132" s="72"/>
    </row>
    <row r="133" spans="1:12" ht="13.5" customHeight="1" x14ac:dyDescent="0.25">
      <c r="A133" s="325" t="s">
        <v>111</v>
      </c>
      <c r="B133" s="325"/>
      <c r="C133" s="325"/>
      <c r="D133" s="325"/>
      <c r="E133" s="325"/>
      <c r="F133" s="325"/>
      <c r="G133" s="325"/>
      <c r="H133" s="325"/>
      <c r="I133" s="325"/>
      <c r="J133" s="106"/>
    </row>
    <row r="134" spans="1:12" ht="36" x14ac:dyDescent="0.25">
      <c r="A134" s="331" t="s">
        <v>112</v>
      </c>
      <c r="B134" s="331"/>
      <c r="C134" s="331"/>
      <c r="D134" s="111" t="s">
        <v>113</v>
      </c>
      <c r="E134" s="138" t="s">
        <v>120</v>
      </c>
      <c r="F134" s="332" t="s">
        <v>121</v>
      </c>
      <c r="G134" s="332"/>
      <c r="H134" s="112" t="s">
        <v>114</v>
      </c>
      <c r="I134" s="113" t="s">
        <v>122</v>
      </c>
      <c r="J134" s="114"/>
    </row>
    <row r="135" spans="1:12" ht="21" customHeight="1" x14ac:dyDescent="0.25">
      <c r="A135" s="136" t="s">
        <v>115</v>
      </c>
      <c r="B135" s="323" t="str">
        <f>H23</f>
        <v>TRATADOR DE ANIMAIS</v>
      </c>
      <c r="C135" s="323"/>
      <c r="D135" s="115">
        <f>I131</f>
        <v>3447.2</v>
      </c>
      <c r="E135" s="136">
        <v>1</v>
      </c>
      <c r="F135" s="324">
        <f>(D135*E135)</f>
        <v>3447.2</v>
      </c>
      <c r="G135" s="324"/>
      <c r="H135" s="136">
        <f>H18</f>
        <v>1</v>
      </c>
      <c r="I135" s="143">
        <f>F135*H135</f>
        <v>3447.2</v>
      </c>
      <c r="J135" s="116"/>
    </row>
    <row r="136" spans="1:12" ht="13.5" customHeight="1" x14ac:dyDescent="0.25">
      <c r="A136" s="325" t="s">
        <v>116</v>
      </c>
      <c r="B136" s="325"/>
      <c r="C136" s="325"/>
      <c r="D136" s="325"/>
      <c r="E136" s="325"/>
      <c r="F136" s="325"/>
      <c r="G136" s="325"/>
      <c r="H136" s="325"/>
      <c r="I136" s="325"/>
      <c r="J136" s="106"/>
    </row>
    <row r="137" spans="1:12" ht="13.5" customHeight="1" x14ac:dyDescent="0.25">
      <c r="A137" s="136"/>
      <c r="B137" s="326" t="s">
        <v>117</v>
      </c>
      <c r="C137" s="326"/>
      <c r="D137" s="326"/>
      <c r="E137" s="326"/>
      <c r="F137" s="326"/>
      <c r="G137" s="326"/>
      <c r="H137" s="326"/>
      <c r="I137" s="117" t="s">
        <v>19</v>
      </c>
      <c r="J137" s="118"/>
    </row>
    <row r="138" spans="1:12" ht="13.5" customHeight="1" x14ac:dyDescent="0.25">
      <c r="A138" s="125" t="s">
        <v>2</v>
      </c>
      <c r="B138" s="327" t="s">
        <v>118</v>
      </c>
      <c r="C138" s="327"/>
      <c r="D138" s="327"/>
      <c r="E138" s="327"/>
      <c r="F138" s="327"/>
      <c r="G138" s="327"/>
      <c r="H138" s="327"/>
      <c r="I138" s="92">
        <f>F135</f>
        <v>3447.2</v>
      </c>
      <c r="J138" s="93"/>
      <c r="L138" s="35"/>
    </row>
    <row r="139" spans="1:12" ht="13.5" customHeight="1" x14ac:dyDescent="0.25">
      <c r="A139" s="136" t="s">
        <v>4</v>
      </c>
      <c r="B139" s="327" t="s">
        <v>119</v>
      </c>
      <c r="C139" s="327"/>
      <c r="D139" s="327"/>
      <c r="E139" s="327"/>
      <c r="F139" s="327"/>
      <c r="G139" s="327"/>
      <c r="H139" s="327"/>
      <c r="I139" s="92">
        <f>SUM(I138:I138)*H18</f>
        <v>3447.2</v>
      </c>
      <c r="J139" s="93"/>
      <c r="K139" s="122"/>
      <c r="L139" s="119"/>
    </row>
    <row r="140" spans="1:12" ht="13.5" customHeight="1" x14ac:dyDescent="0.25">
      <c r="A140" s="136" t="s">
        <v>6</v>
      </c>
      <c r="B140" s="323" t="s">
        <v>123</v>
      </c>
      <c r="C140" s="323"/>
      <c r="D140" s="323"/>
      <c r="E140" s="323"/>
      <c r="F140" s="323"/>
      <c r="G140" s="323"/>
      <c r="H140" s="323"/>
      <c r="I140" s="120">
        <f>(I139*12)</f>
        <v>41366.399999999994</v>
      </c>
      <c r="J140" s="121"/>
    </row>
    <row r="141" spans="1:12" x14ac:dyDescent="0.25">
      <c r="I141" s="124"/>
    </row>
  </sheetData>
  <sheetProtection formatCells="0" formatColumns="0" formatRows="0" insertColumns="0" insertRows="0" insertHyperlinks="0" deleteColumns="0" deleteRows="0" sort="0" autoFilter="0" pivotTables="0"/>
  <mergeCells count="169">
    <mergeCell ref="A7:I7"/>
    <mergeCell ref="A8:I8"/>
    <mergeCell ref="A9:I9"/>
    <mergeCell ref="A10:I10"/>
    <mergeCell ref="A11:I11"/>
    <mergeCell ref="B12:D12"/>
    <mergeCell ref="E12:I12"/>
    <mergeCell ref="A1:I1"/>
    <mergeCell ref="A2:I2"/>
    <mergeCell ref="A3:I3"/>
    <mergeCell ref="A4:I4"/>
    <mergeCell ref="A5:I5"/>
    <mergeCell ref="A6:I6"/>
    <mergeCell ref="A16:I16"/>
    <mergeCell ref="A17:E17"/>
    <mergeCell ref="F17:G17"/>
    <mergeCell ref="H17:I17"/>
    <mergeCell ref="A18:E18"/>
    <mergeCell ref="F18:G18"/>
    <mergeCell ref="H18:I18"/>
    <mergeCell ref="B13:D13"/>
    <mergeCell ref="E13:I13"/>
    <mergeCell ref="B14:D14"/>
    <mergeCell ref="E14:I14"/>
    <mergeCell ref="B15:D15"/>
    <mergeCell ref="E15:I15"/>
    <mergeCell ref="B23:G23"/>
    <mergeCell ref="H23:I23"/>
    <mergeCell ref="B24:G24"/>
    <mergeCell ref="H24:I24"/>
    <mergeCell ref="A25:I25"/>
    <mergeCell ref="A26:I26"/>
    <mergeCell ref="A19:I19"/>
    <mergeCell ref="B20:G20"/>
    <mergeCell ref="H20:I20"/>
    <mergeCell ref="B21:G21"/>
    <mergeCell ref="H21:I21"/>
    <mergeCell ref="B22:G22"/>
    <mergeCell ref="H22:I22"/>
    <mergeCell ref="B30:F30"/>
    <mergeCell ref="G30:H30"/>
    <mergeCell ref="B31:F31"/>
    <mergeCell ref="G31:H31"/>
    <mergeCell ref="B32:F32"/>
    <mergeCell ref="G32:H32"/>
    <mergeCell ref="B27:F27"/>
    <mergeCell ref="G27:H27"/>
    <mergeCell ref="B28:F28"/>
    <mergeCell ref="G28:H28"/>
    <mergeCell ref="B29:F29"/>
    <mergeCell ref="G29:H29"/>
    <mergeCell ref="A37:I37"/>
    <mergeCell ref="B38:G38"/>
    <mergeCell ref="B39:G39"/>
    <mergeCell ref="B40:G40"/>
    <mergeCell ref="B41:G41"/>
    <mergeCell ref="B43:G43"/>
    <mergeCell ref="B33:F33"/>
    <mergeCell ref="G33:H33"/>
    <mergeCell ref="B34:F34"/>
    <mergeCell ref="G34:H34"/>
    <mergeCell ref="A35:H35"/>
    <mergeCell ref="A36:I36"/>
    <mergeCell ref="B50:G50"/>
    <mergeCell ref="B51:G51"/>
    <mergeCell ref="A52:G52"/>
    <mergeCell ref="B54:G54"/>
    <mergeCell ref="B55:G55"/>
    <mergeCell ref="B56:G56"/>
    <mergeCell ref="B44:G44"/>
    <mergeCell ref="B45:G45"/>
    <mergeCell ref="B46:G46"/>
    <mergeCell ref="B47:G47"/>
    <mergeCell ref="B48:G48"/>
    <mergeCell ref="B49:G49"/>
    <mergeCell ref="A63:H63"/>
    <mergeCell ref="A65:I65"/>
    <mergeCell ref="B66:H66"/>
    <mergeCell ref="B67:H67"/>
    <mergeCell ref="B68:H68"/>
    <mergeCell ref="A69:H69"/>
    <mergeCell ref="B57:G57"/>
    <mergeCell ref="B58:G58"/>
    <mergeCell ref="B59:G59"/>
    <mergeCell ref="B60:G60"/>
    <mergeCell ref="B61:G61"/>
    <mergeCell ref="B62:G62"/>
    <mergeCell ref="B77:G77"/>
    <mergeCell ref="B78:G78"/>
    <mergeCell ref="A79:G79"/>
    <mergeCell ref="B80:F80"/>
    <mergeCell ref="G80:H80"/>
    <mergeCell ref="A81:I81"/>
    <mergeCell ref="A71:I71"/>
    <mergeCell ref="B72:G72"/>
    <mergeCell ref="B73:G73"/>
    <mergeCell ref="B74:G74"/>
    <mergeCell ref="B75:G75"/>
    <mergeCell ref="B76:G76"/>
    <mergeCell ref="B88:G88"/>
    <mergeCell ref="B89:G89"/>
    <mergeCell ref="B90:F90"/>
    <mergeCell ref="G90:H90"/>
    <mergeCell ref="B91:H91"/>
    <mergeCell ref="B92:H92"/>
    <mergeCell ref="B82:G82"/>
    <mergeCell ref="B83:G83"/>
    <mergeCell ref="B84:G84"/>
    <mergeCell ref="B85:G85"/>
    <mergeCell ref="B86:G86"/>
    <mergeCell ref="B87:G87"/>
    <mergeCell ref="A98:H98"/>
    <mergeCell ref="B99:F99"/>
    <mergeCell ref="G99:H99"/>
    <mergeCell ref="A100:I100"/>
    <mergeCell ref="B101:H101"/>
    <mergeCell ref="B102:H102"/>
    <mergeCell ref="B93:H93"/>
    <mergeCell ref="B94:F94"/>
    <mergeCell ref="G94:H94"/>
    <mergeCell ref="A95:I95"/>
    <mergeCell ref="B96:H96"/>
    <mergeCell ref="B97:H97"/>
    <mergeCell ref="A108:I108"/>
    <mergeCell ref="B109:G109"/>
    <mergeCell ref="B110:G110"/>
    <mergeCell ref="B111:G111"/>
    <mergeCell ref="B103:H103"/>
    <mergeCell ref="B104:H104"/>
    <mergeCell ref="B105:H105"/>
    <mergeCell ref="A106:H106"/>
    <mergeCell ref="A107:F107"/>
    <mergeCell ref="G107:H107"/>
    <mergeCell ref="B114:H114"/>
    <mergeCell ref="B115:G115"/>
    <mergeCell ref="B116:G116"/>
    <mergeCell ref="B117:H117"/>
    <mergeCell ref="B118:H118"/>
    <mergeCell ref="B119:G119"/>
    <mergeCell ref="B112:D112"/>
    <mergeCell ref="E112:H112"/>
    <mergeCell ref="B113:D113"/>
    <mergeCell ref="E113:F113"/>
    <mergeCell ref="G113:H113"/>
    <mergeCell ref="B125:H125"/>
    <mergeCell ref="B126:H126"/>
    <mergeCell ref="B127:H127"/>
    <mergeCell ref="B128:H128"/>
    <mergeCell ref="A129:H129"/>
    <mergeCell ref="B130:H130"/>
    <mergeCell ref="A120:H120"/>
    <mergeCell ref="B121:F121"/>
    <mergeCell ref="G121:H121"/>
    <mergeCell ref="A122:I122"/>
    <mergeCell ref="B123:H123"/>
    <mergeCell ref="B124:H124"/>
    <mergeCell ref="B140:H140"/>
    <mergeCell ref="B135:C135"/>
    <mergeCell ref="F135:G135"/>
    <mergeCell ref="A136:I136"/>
    <mergeCell ref="B137:H137"/>
    <mergeCell ref="B138:H138"/>
    <mergeCell ref="B139:H139"/>
    <mergeCell ref="A131:H131"/>
    <mergeCell ref="B132:F132"/>
    <mergeCell ref="G132:H132"/>
    <mergeCell ref="A133:I133"/>
    <mergeCell ref="A134:C134"/>
    <mergeCell ref="F134:G134"/>
  </mergeCells>
  <pageMargins left="0.6692913385826772" right="0.19685039370078741" top="0.78740157480314965" bottom="0.6692913385826772" header="0.11811023622047245" footer="0.11811023622047245"/>
  <pageSetup paperSize="9" scale="75" firstPageNumber="0" fitToHeight="0" orientation="portrait" r:id="rId1"/>
  <headerFooter alignWithMargins="0">
    <oddHeader>&amp;R&amp;G</oddHeader>
    <oddFooter>&amp;L&amp;G</oddFooter>
  </headerFooter>
  <rowBreaks count="1" manualBreakCount="1">
    <brk id="70" max="8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141"/>
  <sheetViews>
    <sheetView view="pageBreakPreview" topLeftCell="D70" zoomScaleNormal="100" zoomScaleSheetLayoutView="100" workbookViewId="0">
      <selection activeCell="G95" sqref="G95"/>
    </sheetView>
  </sheetViews>
  <sheetFormatPr defaultRowHeight="15" x14ac:dyDescent="0.25"/>
  <cols>
    <col min="1" max="1" width="5.5703125" style="1" customWidth="1"/>
    <col min="2" max="3" width="19.42578125" style="1" customWidth="1"/>
    <col min="4" max="4" width="16.42578125" style="1" customWidth="1"/>
    <col min="5" max="5" width="12.42578125" style="1" customWidth="1"/>
    <col min="6" max="6" width="9.140625" style="1" customWidth="1"/>
    <col min="7" max="7" width="7.5703125" style="1" customWidth="1"/>
    <col min="8" max="8" width="12" style="1" customWidth="1"/>
    <col min="9" max="9" width="20.7109375" style="1" customWidth="1"/>
    <col min="10" max="10" width="2.5703125" style="1" customWidth="1"/>
    <col min="11" max="11" width="13" style="3" customWidth="1"/>
    <col min="12" max="12" width="12.5703125" style="3" customWidth="1"/>
    <col min="13" max="13" width="10.28515625" style="3" customWidth="1"/>
    <col min="14" max="16" width="8.7109375" style="3" customWidth="1"/>
    <col min="17" max="1025" width="8.7109375" style="1" customWidth="1"/>
    <col min="1026" max="16384" width="9.140625" style="1"/>
  </cols>
  <sheetData>
    <row r="1" spans="1:10" ht="15.75" x14ac:dyDescent="0.25">
      <c r="A1" s="302" t="s">
        <v>212</v>
      </c>
      <c r="B1" s="302"/>
      <c r="C1" s="302"/>
      <c r="D1" s="302"/>
      <c r="E1" s="302"/>
      <c r="F1" s="302"/>
      <c r="G1" s="302"/>
      <c r="H1" s="302"/>
      <c r="I1" s="302"/>
      <c r="J1" s="126"/>
    </row>
    <row r="2" spans="1:10" ht="15.75" x14ac:dyDescent="0.25">
      <c r="A2" s="302" t="s">
        <v>213</v>
      </c>
      <c r="B2" s="302"/>
      <c r="C2" s="302"/>
      <c r="D2" s="302"/>
      <c r="E2" s="302"/>
      <c r="F2" s="302"/>
      <c r="G2" s="302"/>
      <c r="H2" s="302"/>
      <c r="I2" s="302"/>
      <c r="J2" s="126"/>
    </row>
    <row r="3" spans="1:10" ht="15.75" x14ac:dyDescent="0.25">
      <c r="A3" s="302" t="s">
        <v>215</v>
      </c>
      <c r="B3" s="302"/>
      <c r="C3" s="302"/>
      <c r="D3" s="302"/>
      <c r="E3" s="302"/>
      <c r="F3" s="302"/>
      <c r="G3" s="302"/>
      <c r="H3" s="302"/>
      <c r="I3" s="302"/>
      <c r="J3" s="126"/>
    </row>
    <row r="4" spans="1:10" ht="15.75" x14ac:dyDescent="0.25">
      <c r="A4" s="302" t="s">
        <v>214</v>
      </c>
      <c r="B4" s="302"/>
      <c r="C4" s="302"/>
      <c r="D4" s="302"/>
      <c r="E4" s="302"/>
      <c r="F4" s="302"/>
      <c r="G4" s="302"/>
      <c r="H4" s="302"/>
      <c r="I4" s="302"/>
      <c r="J4" s="126"/>
    </row>
    <row r="5" spans="1:10" ht="15.75" x14ac:dyDescent="0.25">
      <c r="A5" s="396" t="s">
        <v>323</v>
      </c>
      <c r="B5" s="396"/>
      <c r="C5" s="396"/>
      <c r="D5" s="396"/>
      <c r="E5" s="396"/>
      <c r="F5" s="396"/>
      <c r="G5" s="396"/>
      <c r="H5" s="396"/>
      <c r="I5" s="396"/>
      <c r="J5" s="126"/>
    </row>
    <row r="6" spans="1:10" x14ac:dyDescent="0.25">
      <c r="A6" s="385"/>
      <c r="B6" s="385"/>
      <c r="C6" s="385"/>
      <c r="D6" s="385"/>
      <c r="E6" s="385"/>
      <c r="F6" s="385"/>
      <c r="G6" s="385"/>
      <c r="H6" s="385"/>
      <c r="I6" s="385"/>
      <c r="J6" s="139"/>
    </row>
    <row r="7" spans="1:10" ht="18.75" x14ac:dyDescent="0.25">
      <c r="A7" s="390" t="s">
        <v>0</v>
      </c>
      <c r="B7" s="390"/>
      <c r="C7" s="390"/>
      <c r="D7" s="390"/>
      <c r="E7" s="390"/>
      <c r="F7" s="390"/>
      <c r="G7" s="390"/>
      <c r="H7" s="390"/>
      <c r="I7" s="390"/>
      <c r="J7" s="140"/>
    </row>
    <row r="8" spans="1:10" x14ac:dyDescent="0.25">
      <c r="A8" s="385"/>
      <c r="B8" s="385"/>
      <c r="C8" s="385"/>
      <c r="D8" s="385"/>
      <c r="E8" s="385"/>
      <c r="F8" s="385"/>
      <c r="G8" s="385"/>
      <c r="H8" s="385"/>
      <c r="I8" s="385"/>
      <c r="J8" s="139"/>
    </row>
    <row r="9" spans="1:10" x14ac:dyDescent="0.25">
      <c r="A9" s="391" t="s">
        <v>262</v>
      </c>
      <c r="B9" s="391"/>
      <c r="C9" s="391"/>
      <c r="D9" s="391"/>
      <c r="E9" s="391"/>
      <c r="F9" s="391"/>
      <c r="G9" s="391"/>
      <c r="H9" s="391"/>
      <c r="I9" s="391"/>
      <c r="J9" s="37"/>
    </row>
    <row r="10" spans="1:10" ht="21.75" customHeight="1" thickBot="1" x14ac:dyDescent="0.3">
      <c r="A10" s="392" t="s">
        <v>0</v>
      </c>
      <c r="B10" s="392"/>
      <c r="C10" s="392"/>
      <c r="D10" s="392"/>
      <c r="E10" s="392"/>
      <c r="F10" s="392"/>
      <c r="G10" s="392"/>
      <c r="H10" s="392"/>
      <c r="I10" s="392"/>
      <c r="J10" s="44"/>
    </row>
    <row r="11" spans="1:10" ht="13.5" customHeight="1" x14ac:dyDescent="0.25">
      <c r="A11" s="393" t="s">
        <v>1</v>
      </c>
      <c r="B11" s="393"/>
      <c r="C11" s="393"/>
      <c r="D11" s="393"/>
      <c r="E11" s="393"/>
      <c r="F11" s="393"/>
      <c r="G11" s="393"/>
      <c r="H11" s="393"/>
      <c r="I11" s="393"/>
      <c r="J11" s="45"/>
    </row>
    <row r="12" spans="1:10" ht="13.5" customHeight="1" x14ac:dyDescent="0.25">
      <c r="A12" s="137" t="s">
        <v>2</v>
      </c>
      <c r="B12" s="349" t="s">
        <v>3</v>
      </c>
      <c r="C12" s="349"/>
      <c r="D12" s="349"/>
      <c r="E12" s="394">
        <f>MARCEN!E12</f>
        <v>45065</v>
      </c>
      <c r="F12" s="395"/>
      <c r="G12" s="395"/>
      <c r="H12" s="395"/>
      <c r="I12" s="395"/>
      <c r="J12" s="46"/>
    </row>
    <row r="13" spans="1:10" ht="13.5" customHeight="1" x14ac:dyDescent="0.25">
      <c r="A13" s="137" t="s">
        <v>4</v>
      </c>
      <c r="B13" s="387" t="s">
        <v>5</v>
      </c>
      <c r="C13" s="387"/>
      <c r="D13" s="387"/>
      <c r="E13" s="397" t="str">
        <f>MARCEN!E13</f>
        <v>Picos/PI</v>
      </c>
      <c r="F13" s="398"/>
      <c r="G13" s="398"/>
      <c r="H13" s="398"/>
      <c r="I13" s="398"/>
      <c r="J13" s="47"/>
    </row>
    <row r="14" spans="1:10" ht="13.5" customHeight="1" x14ac:dyDescent="0.25">
      <c r="A14" s="137" t="s">
        <v>6</v>
      </c>
      <c r="B14" s="387" t="s">
        <v>7</v>
      </c>
      <c r="C14" s="387"/>
      <c r="D14" s="387"/>
      <c r="E14" s="397" t="str">
        <f>MARCEN!E14</f>
        <v>PI000066/2023</v>
      </c>
      <c r="F14" s="398"/>
      <c r="G14" s="398"/>
      <c r="H14" s="398"/>
      <c r="I14" s="398"/>
      <c r="J14" s="48"/>
    </row>
    <row r="15" spans="1:10" ht="13.5" customHeight="1" x14ac:dyDescent="0.25">
      <c r="A15" s="137" t="s">
        <v>8</v>
      </c>
      <c r="B15" s="349" t="s">
        <v>9</v>
      </c>
      <c r="C15" s="349"/>
      <c r="D15" s="349"/>
      <c r="E15" s="342" t="s">
        <v>194</v>
      </c>
      <c r="F15" s="342"/>
      <c r="G15" s="342"/>
      <c r="H15" s="342"/>
      <c r="I15" s="342"/>
      <c r="J15" s="147"/>
    </row>
    <row r="16" spans="1:10" x14ac:dyDescent="0.25">
      <c r="A16" s="385"/>
      <c r="B16" s="385"/>
      <c r="C16" s="385"/>
      <c r="D16" s="385"/>
      <c r="E16" s="385"/>
      <c r="F16" s="385"/>
      <c r="G16" s="385"/>
      <c r="H16" s="385"/>
      <c r="I16" s="385"/>
      <c r="J16" s="139"/>
    </row>
    <row r="17" spans="1:16" ht="26.25" customHeight="1" x14ac:dyDescent="0.25">
      <c r="A17" s="335" t="s">
        <v>10</v>
      </c>
      <c r="B17" s="335"/>
      <c r="C17" s="335"/>
      <c r="D17" s="335"/>
      <c r="E17" s="335"/>
      <c r="F17" s="335" t="s">
        <v>11</v>
      </c>
      <c r="G17" s="335"/>
      <c r="H17" s="356" t="s">
        <v>207</v>
      </c>
      <c r="I17" s="356"/>
      <c r="J17" s="49"/>
      <c r="O17" s="30"/>
    </row>
    <row r="18" spans="1:16" x14ac:dyDescent="0.25">
      <c r="A18" s="342" t="str">
        <f>A9</f>
        <v>OPERADOR DE MICRO</v>
      </c>
      <c r="B18" s="342"/>
      <c r="C18" s="342"/>
      <c r="D18" s="342"/>
      <c r="E18" s="342"/>
      <c r="F18" s="342" t="s">
        <v>257</v>
      </c>
      <c r="G18" s="342"/>
      <c r="H18" s="386">
        <v>5</v>
      </c>
      <c r="I18" s="386"/>
      <c r="J18" s="50"/>
    </row>
    <row r="19" spans="1:16" x14ac:dyDescent="0.25">
      <c r="A19" s="356" t="s">
        <v>124</v>
      </c>
      <c r="B19" s="356"/>
      <c r="C19" s="356"/>
      <c r="D19" s="356"/>
      <c r="E19" s="356"/>
      <c r="F19" s="356"/>
      <c r="G19" s="356"/>
      <c r="H19" s="356"/>
      <c r="I19" s="356"/>
      <c r="J19" s="49"/>
    </row>
    <row r="20" spans="1:16" x14ac:dyDescent="0.25">
      <c r="A20" s="137">
        <v>1</v>
      </c>
      <c r="B20" s="349" t="s">
        <v>12</v>
      </c>
      <c r="C20" s="349"/>
      <c r="D20" s="349"/>
      <c r="E20" s="349"/>
      <c r="F20" s="349"/>
      <c r="G20" s="349"/>
      <c r="H20" s="379" t="s">
        <v>251</v>
      </c>
      <c r="I20" s="379"/>
      <c r="J20" s="147"/>
    </row>
    <row r="21" spans="1:16" x14ac:dyDescent="0.25">
      <c r="A21" s="137">
        <v>2</v>
      </c>
      <c r="B21" s="339" t="s">
        <v>216</v>
      </c>
      <c r="C21" s="340"/>
      <c r="D21" s="340"/>
      <c r="E21" s="340"/>
      <c r="F21" s="340"/>
      <c r="G21" s="380"/>
      <c r="H21" s="381" t="s">
        <v>263</v>
      </c>
      <c r="I21" s="382"/>
      <c r="J21" s="147"/>
    </row>
    <row r="22" spans="1:16" s="21" customFormat="1" ht="12.75" x14ac:dyDescent="0.2">
      <c r="A22" s="204">
        <v>3</v>
      </c>
      <c r="B22" s="383" t="s">
        <v>13</v>
      </c>
      <c r="C22" s="383"/>
      <c r="D22" s="383"/>
      <c r="E22" s="383"/>
      <c r="F22" s="383"/>
      <c r="G22" s="383"/>
      <c r="H22" s="384">
        <f>1635.24*107.43%</f>
        <v>1756.7383320000001</v>
      </c>
      <c r="I22" s="384"/>
      <c r="J22" s="51"/>
    </row>
    <row r="23" spans="1:16" x14ac:dyDescent="0.25">
      <c r="A23" s="137">
        <v>4</v>
      </c>
      <c r="B23" s="349" t="s">
        <v>14</v>
      </c>
      <c r="C23" s="349"/>
      <c r="D23" s="349"/>
      <c r="E23" s="349"/>
      <c r="F23" s="349"/>
      <c r="G23" s="349"/>
      <c r="H23" s="374" t="str">
        <f>A9</f>
        <v>OPERADOR DE MICRO</v>
      </c>
      <c r="I23" s="374"/>
      <c r="J23" s="52"/>
      <c r="N23" s="4"/>
    </row>
    <row r="24" spans="1:16" x14ac:dyDescent="0.25">
      <c r="A24" s="137">
        <v>5</v>
      </c>
      <c r="B24" s="375" t="s">
        <v>15</v>
      </c>
      <c r="C24" s="375"/>
      <c r="D24" s="375"/>
      <c r="E24" s="375"/>
      <c r="F24" s="375"/>
      <c r="G24" s="375"/>
      <c r="H24" s="376">
        <v>44927</v>
      </c>
      <c r="I24" s="377"/>
      <c r="J24" s="53"/>
    </row>
    <row r="25" spans="1:16" x14ac:dyDescent="0.25">
      <c r="A25" s="378"/>
      <c r="B25" s="378"/>
      <c r="C25" s="378"/>
      <c r="D25" s="378"/>
      <c r="E25" s="378"/>
      <c r="F25" s="378"/>
      <c r="G25" s="378"/>
      <c r="H25" s="378"/>
      <c r="I25" s="378"/>
      <c r="J25" s="147"/>
    </row>
    <row r="26" spans="1:16" ht="13.5" customHeight="1" x14ac:dyDescent="0.25">
      <c r="A26" s="347" t="s">
        <v>16</v>
      </c>
      <c r="B26" s="347"/>
      <c r="C26" s="347"/>
      <c r="D26" s="347"/>
      <c r="E26" s="347"/>
      <c r="F26" s="347"/>
      <c r="G26" s="347"/>
      <c r="H26" s="347"/>
      <c r="I26" s="347"/>
      <c r="J26" s="54"/>
    </row>
    <row r="27" spans="1:16" ht="13.5" customHeight="1" x14ac:dyDescent="0.25">
      <c r="A27" s="142">
        <v>1</v>
      </c>
      <c r="B27" s="335" t="s">
        <v>17</v>
      </c>
      <c r="C27" s="335"/>
      <c r="D27" s="335"/>
      <c r="E27" s="335"/>
      <c r="F27" s="335"/>
      <c r="G27" s="335" t="s">
        <v>18</v>
      </c>
      <c r="H27" s="335"/>
      <c r="I27" s="142" t="s">
        <v>19</v>
      </c>
      <c r="J27" s="55"/>
    </row>
    <row r="28" spans="1:16" s="223" customFormat="1" ht="13.5" customHeight="1" x14ac:dyDescent="0.25">
      <c r="A28" s="219" t="s">
        <v>2</v>
      </c>
      <c r="B28" s="372" t="s">
        <v>20</v>
      </c>
      <c r="C28" s="372"/>
      <c r="D28" s="372"/>
      <c r="E28" s="372"/>
      <c r="F28" s="372"/>
      <c r="G28" s="373">
        <v>1</v>
      </c>
      <c r="H28" s="373"/>
      <c r="I28" s="220">
        <f>H22</f>
        <v>1756.7383320000001</v>
      </c>
      <c r="J28" s="221"/>
      <c r="K28" s="222"/>
      <c r="L28" s="222"/>
      <c r="M28" s="222"/>
      <c r="N28" s="222"/>
      <c r="O28" s="222"/>
      <c r="P28" s="222"/>
    </row>
    <row r="29" spans="1:16" ht="13.5" customHeight="1" x14ac:dyDescent="0.25">
      <c r="A29" s="137" t="s">
        <v>4</v>
      </c>
      <c r="B29" s="357" t="s">
        <v>21</v>
      </c>
      <c r="C29" s="357"/>
      <c r="D29" s="357"/>
      <c r="E29" s="357"/>
      <c r="F29" s="357"/>
      <c r="G29" s="370">
        <v>0</v>
      </c>
      <c r="H29" s="370"/>
      <c r="I29" s="58">
        <f>(I28*G29)</f>
        <v>0</v>
      </c>
      <c r="J29" s="59"/>
    </row>
    <row r="30" spans="1:16" ht="13.5" customHeight="1" x14ac:dyDescent="0.25">
      <c r="A30" s="137" t="s">
        <v>6</v>
      </c>
      <c r="B30" s="357" t="s">
        <v>22</v>
      </c>
      <c r="C30" s="357"/>
      <c r="D30" s="357"/>
      <c r="E30" s="357"/>
      <c r="F30" s="357"/>
      <c r="G30" s="370">
        <v>0</v>
      </c>
      <c r="H30" s="370"/>
      <c r="I30" s="56">
        <f>(I28*G30)</f>
        <v>0</v>
      </c>
      <c r="J30" s="57"/>
    </row>
    <row r="31" spans="1:16" ht="13.5" customHeight="1" x14ac:dyDescent="0.25">
      <c r="A31" s="137" t="s">
        <v>8</v>
      </c>
      <c r="B31" s="357" t="s">
        <v>23</v>
      </c>
      <c r="C31" s="357"/>
      <c r="D31" s="357"/>
      <c r="E31" s="357"/>
      <c r="F31" s="357"/>
      <c r="G31" s="370">
        <v>0</v>
      </c>
      <c r="H31" s="370"/>
      <c r="I31" s="56">
        <v>0</v>
      </c>
      <c r="J31" s="57"/>
    </row>
    <row r="32" spans="1:16" ht="13.5" customHeight="1" x14ac:dyDescent="0.25">
      <c r="A32" s="137" t="s">
        <v>24</v>
      </c>
      <c r="B32" s="357" t="s">
        <v>25</v>
      </c>
      <c r="C32" s="357"/>
      <c r="D32" s="357"/>
      <c r="E32" s="357"/>
      <c r="F32" s="357"/>
      <c r="G32" s="370">
        <v>0</v>
      </c>
      <c r="H32" s="370"/>
      <c r="I32" s="56">
        <v>0</v>
      </c>
      <c r="J32" s="57"/>
    </row>
    <row r="33" spans="1:16" ht="13.5" customHeight="1" x14ac:dyDescent="0.25">
      <c r="A33" s="137" t="s">
        <v>26</v>
      </c>
      <c r="B33" s="357" t="s">
        <v>27</v>
      </c>
      <c r="C33" s="357"/>
      <c r="D33" s="357"/>
      <c r="E33" s="357"/>
      <c r="F33" s="357"/>
      <c r="G33" s="370">
        <v>0</v>
      </c>
      <c r="H33" s="370"/>
      <c r="I33" s="56">
        <v>0</v>
      </c>
      <c r="J33" s="57"/>
    </row>
    <row r="34" spans="1:16" ht="13.5" customHeight="1" x14ac:dyDescent="0.25">
      <c r="A34" s="137" t="s">
        <v>28</v>
      </c>
      <c r="B34" s="349" t="s">
        <v>29</v>
      </c>
      <c r="C34" s="349"/>
      <c r="D34" s="349"/>
      <c r="E34" s="349"/>
      <c r="F34" s="349"/>
      <c r="G34" s="370">
        <v>0</v>
      </c>
      <c r="H34" s="370"/>
      <c r="I34" s="56">
        <v>0</v>
      </c>
      <c r="J34" s="57"/>
    </row>
    <row r="35" spans="1:16" ht="13.5" customHeight="1" x14ac:dyDescent="0.25">
      <c r="A35" s="335" t="s">
        <v>30</v>
      </c>
      <c r="B35" s="335"/>
      <c r="C35" s="335"/>
      <c r="D35" s="335"/>
      <c r="E35" s="335"/>
      <c r="F35" s="335"/>
      <c r="G35" s="335"/>
      <c r="H35" s="335"/>
      <c r="I35" s="60">
        <f>SUM(I28:I34)</f>
        <v>1756.7383320000001</v>
      </c>
      <c r="J35" s="61"/>
    </row>
    <row r="36" spans="1:16" x14ac:dyDescent="0.25">
      <c r="A36" s="371"/>
      <c r="B36" s="371"/>
      <c r="C36" s="371"/>
      <c r="D36" s="371"/>
      <c r="E36" s="371"/>
      <c r="F36" s="371"/>
      <c r="G36" s="371"/>
      <c r="H36" s="371"/>
      <c r="I36" s="371"/>
      <c r="J36" s="149"/>
    </row>
    <row r="37" spans="1:16" ht="13.5" customHeight="1" x14ac:dyDescent="0.25">
      <c r="A37" s="347" t="s">
        <v>127</v>
      </c>
      <c r="B37" s="347"/>
      <c r="C37" s="347"/>
      <c r="D37" s="347"/>
      <c r="E37" s="347"/>
      <c r="F37" s="347"/>
      <c r="G37" s="347"/>
      <c r="H37" s="347"/>
      <c r="I37" s="347"/>
      <c r="J37" s="54"/>
    </row>
    <row r="38" spans="1:16" ht="13.5" customHeight="1" x14ac:dyDescent="0.25">
      <c r="A38" s="142" t="s">
        <v>31</v>
      </c>
      <c r="B38" s="359" t="s">
        <v>32</v>
      </c>
      <c r="C38" s="359"/>
      <c r="D38" s="359"/>
      <c r="E38" s="359"/>
      <c r="F38" s="359"/>
      <c r="G38" s="359"/>
      <c r="H38" s="142" t="s">
        <v>18</v>
      </c>
      <c r="I38" s="142" t="s">
        <v>19</v>
      </c>
      <c r="J38" s="55"/>
    </row>
    <row r="39" spans="1:16" ht="13.5" customHeight="1" x14ac:dyDescent="0.25">
      <c r="A39" s="137" t="s">
        <v>2</v>
      </c>
      <c r="B39" s="358" t="s">
        <v>33</v>
      </c>
      <c r="C39" s="358"/>
      <c r="D39" s="358"/>
      <c r="E39" s="358"/>
      <c r="F39" s="358"/>
      <c r="G39" s="358"/>
      <c r="H39" s="148">
        <f>(1/12)*1</f>
        <v>8.3333333333333329E-2</v>
      </c>
      <c r="I39" s="56">
        <f>$I$35*H39</f>
        <v>146.39486099999999</v>
      </c>
      <c r="J39" s="57"/>
    </row>
    <row r="40" spans="1:16" ht="13.5" customHeight="1" x14ac:dyDescent="0.25">
      <c r="A40" s="137" t="s">
        <v>4</v>
      </c>
      <c r="B40" s="358" t="s">
        <v>34</v>
      </c>
      <c r="C40" s="358"/>
      <c r="D40" s="358"/>
      <c r="E40" s="358"/>
      <c r="F40" s="358"/>
      <c r="G40" s="358"/>
      <c r="H40" s="148">
        <f>((1+1/3)/12)*1</f>
        <v>0.1111111111111111</v>
      </c>
      <c r="I40" s="56">
        <f>$I$35*H40</f>
        <v>195.19314800000001</v>
      </c>
      <c r="J40" s="57"/>
    </row>
    <row r="41" spans="1:16" ht="13.5" customHeight="1" x14ac:dyDescent="0.25">
      <c r="A41" s="62"/>
      <c r="B41" s="335" t="s">
        <v>35</v>
      </c>
      <c r="C41" s="335"/>
      <c r="D41" s="335"/>
      <c r="E41" s="335"/>
      <c r="F41" s="335"/>
      <c r="G41" s="335"/>
      <c r="H41" s="63">
        <f>SUM(H39:H40)</f>
        <v>0.19444444444444442</v>
      </c>
      <c r="I41" s="64">
        <f>SUM(I39:I40)</f>
        <v>341.588009</v>
      </c>
      <c r="J41" s="65"/>
      <c r="K41" s="31">
        <f>H52*H41</f>
        <v>6.9766666666666671E-2</v>
      </c>
    </row>
    <row r="42" spans="1:16" ht="9.75" customHeight="1" x14ac:dyDescent="0.25">
      <c r="A42" s="141"/>
      <c r="B42" s="141"/>
      <c r="C42" s="141"/>
      <c r="D42" s="141"/>
      <c r="E42" s="141"/>
      <c r="F42" s="141"/>
      <c r="G42" s="141"/>
      <c r="H42" s="141"/>
      <c r="I42" s="66"/>
      <c r="J42" s="66"/>
    </row>
    <row r="43" spans="1:16" ht="13.5" customHeight="1" x14ac:dyDescent="0.25">
      <c r="A43" s="142" t="s">
        <v>36</v>
      </c>
      <c r="B43" s="359" t="s">
        <v>37</v>
      </c>
      <c r="C43" s="359"/>
      <c r="D43" s="359"/>
      <c r="E43" s="359"/>
      <c r="F43" s="359"/>
      <c r="G43" s="359"/>
      <c r="H43" s="142" t="s">
        <v>18</v>
      </c>
      <c r="I43" s="142" t="s">
        <v>19</v>
      </c>
      <c r="J43" s="55"/>
    </row>
    <row r="44" spans="1:16" ht="13.5" customHeight="1" x14ac:dyDescent="0.25">
      <c r="A44" s="137" t="s">
        <v>2</v>
      </c>
      <c r="B44" s="358" t="s">
        <v>38</v>
      </c>
      <c r="C44" s="358"/>
      <c r="D44" s="358"/>
      <c r="E44" s="358"/>
      <c r="F44" s="358"/>
      <c r="G44" s="358"/>
      <c r="H44" s="128">
        <v>0.2</v>
      </c>
      <c r="I44" s="56">
        <f>SUM($I$35,$I$41)*H44</f>
        <v>419.66526820000001</v>
      </c>
      <c r="J44" s="57"/>
    </row>
    <row r="45" spans="1:16" ht="13.5" customHeight="1" x14ac:dyDescent="0.25">
      <c r="A45" s="137" t="s">
        <v>4</v>
      </c>
      <c r="B45" s="358" t="s">
        <v>39</v>
      </c>
      <c r="C45" s="358"/>
      <c r="D45" s="358"/>
      <c r="E45" s="358"/>
      <c r="F45" s="358"/>
      <c r="G45" s="358"/>
      <c r="H45" s="67">
        <v>2.5000000000000001E-2</v>
      </c>
      <c r="I45" s="56">
        <f t="shared" ref="I45:I51" si="0">SUM($I$35,$I$41)*H45</f>
        <v>52.458158525000002</v>
      </c>
      <c r="J45" s="57"/>
    </row>
    <row r="46" spans="1:16" s="83" customFormat="1" ht="13.5" customHeight="1" x14ac:dyDescent="0.25">
      <c r="A46" s="205" t="s">
        <v>6</v>
      </c>
      <c r="B46" s="364" t="s">
        <v>40</v>
      </c>
      <c r="C46" s="364"/>
      <c r="D46" s="364"/>
      <c r="E46" s="364"/>
      <c r="F46" s="364"/>
      <c r="G46" s="364"/>
      <c r="H46" s="207">
        <v>2.0799999999999999E-2</v>
      </c>
      <c r="I46" s="81">
        <f t="shared" si="0"/>
        <v>43.645187892799996</v>
      </c>
      <c r="J46" s="82"/>
      <c r="K46" s="21"/>
      <c r="L46" s="21"/>
      <c r="M46" s="21"/>
      <c r="N46" s="21"/>
      <c r="O46" s="21"/>
      <c r="P46" s="21"/>
    </row>
    <row r="47" spans="1:16" ht="13.5" customHeight="1" x14ac:dyDescent="0.25">
      <c r="A47" s="137" t="s">
        <v>8</v>
      </c>
      <c r="B47" s="358" t="s">
        <v>41</v>
      </c>
      <c r="C47" s="358"/>
      <c r="D47" s="358"/>
      <c r="E47" s="358"/>
      <c r="F47" s="358"/>
      <c r="G47" s="358"/>
      <c r="H47" s="68">
        <v>1.4999999999999999E-2</v>
      </c>
      <c r="I47" s="56">
        <f t="shared" si="0"/>
        <v>31.474895114999999</v>
      </c>
      <c r="J47" s="57"/>
    </row>
    <row r="48" spans="1:16" ht="13.5" customHeight="1" x14ac:dyDescent="0.25">
      <c r="A48" s="137" t="s">
        <v>24</v>
      </c>
      <c r="B48" s="358" t="s">
        <v>42</v>
      </c>
      <c r="C48" s="358"/>
      <c r="D48" s="358"/>
      <c r="E48" s="358"/>
      <c r="F48" s="358"/>
      <c r="G48" s="358"/>
      <c r="H48" s="68">
        <v>0.01</v>
      </c>
      <c r="I48" s="56">
        <f t="shared" si="0"/>
        <v>20.983263409999999</v>
      </c>
      <c r="J48" s="57"/>
    </row>
    <row r="49" spans="1:16" ht="13.5" customHeight="1" x14ac:dyDescent="0.25">
      <c r="A49" s="137" t="s">
        <v>26</v>
      </c>
      <c r="B49" s="358" t="s">
        <v>43</v>
      </c>
      <c r="C49" s="358"/>
      <c r="D49" s="358"/>
      <c r="E49" s="358"/>
      <c r="F49" s="358"/>
      <c r="G49" s="358"/>
      <c r="H49" s="68">
        <v>6.0000000000000001E-3</v>
      </c>
      <c r="I49" s="56">
        <f t="shared" si="0"/>
        <v>12.589958046</v>
      </c>
      <c r="J49" s="57"/>
    </row>
    <row r="50" spans="1:16" ht="13.5" customHeight="1" x14ac:dyDescent="0.25">
      <c r="A50" s="137" t="s">
        <v>28</v>
      </c>
      <c r="B50" s="358" t="s">
        <v>44</v>
      </c>
      <c r="C50" s="358"/>
      <c r="D50" s="358"/>
      <c r="E50" s="358"/>
      <c r="F50" s="358"/>
      <c r="G50" s="358"/>
      <c r="H50" s="68">
        <v>2E-3</v>
      </c>
      <c r="I50" s="56">
        <f t="shared" si="0"/>
        <v>4.1966526819999999</v>
      </c>
      <c r="J50" s="57"/>
    </row>
    <row r="51" spans="1:16" ht="13.5" customHeight="1" x14ac:dyDescent="0.25">
      <c r="A51" s="137" t="s">
        <v>45</v>
      </c>
      <c r="B51" s="358" t="s">
        <v>46</v>
      </c>
      <c r="C51" s="358"/>
      <c r="D51" s="358"/>
      <c r="E51" s="358"/>
      <c r="F51" s="358"/>
      <c r="G51" s="358"/>
      <c r="H51" s="68">
        <v>0.08</v>
      </c>
      <c r="I51" s="56">
        <f t="shared" si="0"/>
        <v>167.86610727999999</v>
      </c>
      <c r="J51" s="57"/>
    </row>
    <row r="52" spans="1:16" ht="13.5" customHeight="1" x14ac:dyDescent="0.25">
      <c r="A52" s="336" t="s">
        <v>47</v>
      </c>
      <c r="B52" s="337"/>
      <c r="C52" s="337"/>
      <c r="D52" s="337"/>
      <c r="E52" s="337"/>
      <c r="F52" s="337"/>
      <c r="G52" s="338"/>
      <c r="H52" s="63">
        <f>SUM(H44:H51)</f>
        <v>0.35880000000000006</v>
      </c>
      <c r="I52" s="69">
        <f>SUM(I44:I51)</f>
        <v>752.87949115080005</v>
      </c>
      <c r="J52" s="70"/>
    </row>
    <row r="53" spans="1:16" ht="10.5" customHeight="1" x14ac:dyDescent="0.25">
      <c r="A53" s="141"/>
      <c r="B53" s="141"/>
      <c r="C53" s="141"/>
      <c r="D53" s="141"/>
      <c r="E53" s="141"/>
      <c r="F53" s="141"/>
      <c r="G53" s="141"/>
      <c r="H53" s="141"/>
      <c r="I53" s="71"/>
      <c r="J53" s="71"/>
    </row>
    <row r="54" spans="1:16" ht="13.5" customHeight="1" x14ac:dyDescent="0.25">
      <c r="A54" s="142" t="s">
        <v>48</v>
      </c>
      <c r="B54" s="359" t="s">
        <v>49</v>
      </c>
      <c r="C54" s="359"/>
      <c r="D54" s="359"/>
      <c r="E54" s="359"/>
      <c r="F54" s="359"/>
      <c r="G54" s="359"/>
      <c r="H54" s="142" t="s">
        <v>50</v>
      </c>
      <c r="I54" s="142" t="s">
        <v>19</v>
      </c>
      <c r="J54" s="55"/>
    </row>
    <row r="55" spans="1:16" s="223" customFormat="1" ht="13.5" customHeight="1" x14ac:dyDescent="0.25">
      <c r="A55" s="219" t="s">
        <v>2</v>
      </c>
      <c r="B55" s="367" t="s">
        <v>324</v>
      </c>
      <c r="C55" s="367"/>
      <c r="D55" s="367"/>
      <c r="E55" s="367"/>
      <c r="F55" s="367"/>
      <c r="G55" s="367"/>
      <c r="H55" s="225">
        <v>5</v>
      </c>
      <c r="I55" s="226">
        <f>(H55*2*22)-(I28*6%)</f>
        <v>114.59570008</v>
      </c>
      <c r="J55" s="227"/>
      <c r="K55" s="224"/>
      <c r="L55" s="222"/>
      <c r="M55" s="222"/>
      <c r="N55" s="222"/>
      <c r="O55" s="222"/>
      <c r="P55" s="222"/>
    </row>
    <row r="56" spans="1:16" s="223" customFormat="1" ht="13.5" customHeight="1" x14ac:dyDescent="0.25">
      <c r="A56" s="219" t="s">
        <v>4</v>
      </c>
      <c r="B56" s="367" t="s">
        <v>322</v>
      </c>
      <c r="C56" s="367"/>
      <c r="D56" s="367"/>
      <c r="E56" s="367"/>
      <c r="F56" s="367"/>
      <c r="G56" s="367"/>
      <c r="H56" s="225">
        <v>412.05</v>
      </c>
      <c r="I56" s="220">
        <f>H56</f>
        <v>412.05</v>
      </c>
      <c r="J56" s="221"/>
      <c r="K56" s="222"/>
      <c r="L56" s="222"/>
      <c r="M56" s="222"/>
      <c r="N56" s="222"/>
      <c r="O56" s="222"/>
      <c r="P56" s="222"/>
    </row>
    <row r="57" spans="1:16" ht="13.5" customHeight="1" x14ac:dyDescent="0.25">
      <c r="A57" s="137" t="s">
        <v>6</v>
      </c>
      <c r="B57" s="369" t="s">
        <v>310</v>
      </c>
      <c r="C57" s="369"/>
      <c r="D57" s="369"/>
      <c r="E57" s="369"/>
      <c r="F57" s="369"/>
      <c r="G57" s="369"/>
      <c r="H57" s="73">
        <v>141.68</v>
      </c>
      <c r="I57" s="177">
        <f>(H57*40%)</f>
        <v>56.672000000000004</v>
      </c>
      <c r="J57" s="57"/>
      <c r="K57" s="166"/>
    </row>
    <row r="58" spans="1:16" ht="13.5" customHeight="1" x14ac:dyDescent="0.25">
      <c r="A58" s="136" t="s">
        <v>8</v>
      </c>
      <c r="B58" s="368" t="s">
        <v>252</v>
      </c>
      <c r="C58" s="368"/>
      <c r="D58" s="368"/>
      <c r="E58" s="368"/>
      <c r="F58" s="368"/>
      <c r="G58" s="368"/>
      <c r="H58" s="73">
        <f>I35</f>
        <v>1756.7383320000001</v>
      </c>
      <c r="I58" s="74">
        <f>(H58*26)*0.002/12</f>
        <v>7.6125327720000016</v>
      </c>
      <c r="J58" s="72"/>
    </row>
    <row r="59" spans="1:16" ht="13.5" customHeight="1" x14ac:dyDescent="0.25">
      <c r="A59" s="137" t="s">
        <v>24</v>
      </c>
      <c r="B59" s="358" t="s">
        <v>203</v>
      </c>
      <c r="C59" s="358"/>
      <c r="D59" s="358"/>
      <c r="E59" s="358"/>
      <c r="F59" s="358"/>
      <c r="G59" s="358"/>
      <c r="H59" s="73">
        <v>0</v>
      </c>
      <c r="I59" s="74">
        <f>(H59*6*0.02)/12</f>
        <v>0</v>
      </c>
      <c r="J59" s="72"/>
    </row>
    <row r="60" spans="1:16" ht="13.5" customHeight="1" x14ac:dyDescent="0.25">
      <c r="A60" s="137" t="s">
        <v>26</v>
      </c>
      <c r="B60" s="369" t="s">
        <v>202</v>
      </c>
      <c r="C60" s="369"/>
      <c r="D60" s="369"/>
      <c r="E60" s="369"/>
      <c r="F60" s="369"/>
      <c r="G60" s="369"/>
      <c r="H60" s="75">
        <v>0</v>
      </c>
      <c r="I60" s="76">
        <f>H60</f>
        <v>0</v>
      </c>
      <c r="J60" s="77"/>
    </row>
    <row r="61" spans="1:16" ht="13.5" customHeight="1" x14ac:dyDescent="0.25">
      <c r="A61" s="137" t="s">
        <v>28</v>
      </c>
      <c r="B61" s="358" t="s">
        <v>51</v>
      </c>
      <c r="C61" s="358"/>
      <c r="D61" s="358"/>
      <c r="E61" s="358"/>
      <c r="F61" s="358"/>
      <c r="G61" s="358"/>
      <c r="H61" s="73">
        <v>0</v>
      </c>
      <c r="I61" s="56">
        <f>H61</f>
        <v>0</v>
      </c>
      <c r="J61" s="57"/>
    </row>
    <row r="62" spans="1:16" s="78" customFormat="1" ht="13.5" customHeight="1" x14ac:dyDescent="0.25">
      <c r="A62" s="146" t="s">
        <v>45</v>
      </c>
      <c r="B62" s="369" t="s">
        <v>209</v>
      </c>
      <c r="C62" s="369"/>
      <c r="D62" s="369"/>
      <c r="E62" s="369"/>
      <c r="F62" s="369"/>
      <c r="G62" s="369"/>
      <c r="H62" s="75">
        <v>0</v>
      </c>
      <c r="I62" s="76">
        <f>H62</f>
        <v>0</v>
      </c>
      <c r="J62" s="77"/>
      <c r="K62" s="32"/>
      <c r="L62" s="32"/>
      <c r="M62" s="32"/>
      <c r="N62" s="32"/>
      <c r="O62" s="32"/>
      <c r="P62" s="32"/>
    </row>
    <row r="63" spans="1:16" ht="13.5" customHeight="1" x14ac:dyDescent="0.25">
      <c r="A63" s="336" t="s">
        <v>52</v>
      </c>
      <c r="B63" s="337"/>
      <c r="C63" s="337"/>
      <c r="D63" s="337"/>
      <c r="E63" s="337"/>
      <c r="F63" s="337"/>
      <c r="G63" s="337"/>
      <c r="H63" s="338"/>
      <c r="I63" s="69">
        <f>TRUNC(SUM(I55:I62),2)</f>
        <v>590.92999999999995</v>
      </c>
      <c r="J63" s="70"/>
    </row>
    <row r="64" spans="1:16" ht="12" customHeight="1" x14ac:dyDescent="0.25">
      <c r="A64" s="141"/>
      <c r="B64" s="141"/>
      <c r="C64" s="141"/>
      <c r="D64" s="141"/>
      <c r="E64" s="141"/>
      <c r="F64" s="141"/>
      <c r="G64" s="141"/>
      <c r="H64" s="141"/>
      <c r="I64" s="71"/>
      <c r="J64" s="71"/>
    </row>
    <row r="65" spans="1:16" ht="13.5" customHeight="1" x14ac:dyDescent="0.25">
      <c r="A65" s="335" t="s">
        <v>53</v>
      </c>
      <c r="B65" s="335"/>
      <c r="C65" s="335"/>
      <c r="D65" s="335"/>
      <c r="E65" s="335"/>
      <c r="F65" s="335"/>
      <c r="G65" s="335"/>
      <c r="H65" s="335"/>
      <c r="I65" s="335"/>
      <c r="J65" s="55"/>
    </row>
    <row r="66" spans="1:16" ht="13.5" customHeight="1" x14ac:dyDescent="0.25">
      <c r="A66" s="79" t="s">
        <v>31</v>
      </c>
      <c r="B66" s="368" t="s">
        <v>54</v>
      </c>
      <c r="C66" s="368"/>
      <c r="D66" s="368"/>
      <c r="E66" s="368"/>
      <c r="F66" s="368"/>
      <c r="G66" s="368"/>
      <c r="H66" s="368"/>
      <c r="I66" s="56">
        <f>I41</f>
        <v>341.588009</v>
      </c>
      <c r="J66" s="57"/>
    </row>
    <row r="67" spans="1:16" ht="13.5" customHeight="1" x14ac:dyDescent="0.25">
      <c r="A67" s="79" t="s">
        <v>36</v>
      </c>
      <c r="B67" s="358" t="s">
        <v>55</v>
      </c>
      <c r="C67" s="358"/>
      <c r="D67" s="358"/>
      <c r="E67" s="358"/>
      <c r="F67" s="358"/>
      <c r="G67" s="358"/>
      <c r="H67" s="358"/>
      <c r="I67" s="56">
        <f>I52</f>
        <v>752.87949115080005</v>
      </c>
      <c r="J67" s="57"/>
    </row>
    <row r="68" spans="1:16" ht="13.5" customHeight="1" x14ac:dyDescent="0.25">
      <c r="A68" s="79" t="s">
        <v>48</v>
      </c>
      <c r="B68" s="358" t="s">
        <v>56</v>
      </c>
      <c r="C68" s="358"/>
      <c r="D68" s="358"/>
      <c r="E68" s="358"/>
      <c r="F68" s="358"/>
      <c r="G68" s="358"/>
      <c r="H68" s="358"/>
      <c r="I68" s="56">
        <f>I63</f>
        <v>590.92999999999995</v>
      </c>
      <c r="J68" s="57"/>
    </row>
    <row r="69" spans="1:16" ht="13.5" customHeight="1" x14ac:dyDescent="0.25">
      <c r="A69" s="335" t="s">
        <v>57</v>
      </c>
      <c r="B69" s="335"/>
      <c r="C69" s="335"/>
      <c r="D69" s="335"/>
      <c r="E69" s="335"/>
      <c r="F69" s="335"/>
      <c r="G69" s="335"/>
      <c r="H69" s="335"/>
      <c r="I69" s="60">
        <f>SUM(I66:I68)</f>
        <v>1685.3975001508002</v>
      </c>
      <c r="J69" s="61"/>
    </row>
    <row r="70" spans="1:16" x14ac:dyDescent="0.25">
      <c r="A70" s="141"/>
      <c r="B70" s="141"/>
      <c r="C70" s="141"/>
      <c r="D70" s="141"/>
      <c r="E70" s="141"/>
      <c r="F70" s="141"/>
      <c r="G70" s="141"/>
      <c r="H70" s="141"/>
      <c r="I70" s="71"/>
      <c r="J70" s="71"/>
    </row>
    <row r="71" spans="1:16" ht="13.5" customHeight="1" x14ac:dyDescent="0.25">
      <c r="A71" s="347" t="s">
        <v>125</v>
      </c>
      <c r="B71" s="347"/>
      <c r="C71" s="347"/>
      <c r="D71" s="347"/>
      <c r="E71" s="347"/>
      <c r="F71" s="347"/>
      <c r="G71" s="347"/>
      <c r="H71" s="347"/>
      <c r="I71" s="347"/>
      <c r="J71" s="54"/>
    </row>
    <row r="72" spans="1:16" ht="13.5" customHeight="1" x14ac:dyDescent="0.25">
      <c r="A72" s="203">
        <v>3</v>
      </c>
      <c r="B72" s="366" t="s">
        <v>58</v>
      </c>
      <c r="C72" s="366"/>
      <c r="D72" s="366"/>
      <c r="E72" s="366"/>
      <c r="F72" s="366"/>
      <c r="G72" s="366"/>
      <c r="H72" s="203" t="s">
        <v>18</v>
      </c>
      <c r="I72" s="203" t="s">
        <v>19</v>
      </c>
      <c r="J72" s="55"/>
    </row>
    <row r="73" spans="1:16" s="249" customFormat="1" ht="13.5" customHeight="1" x14ac:dyDescent="0.25">
      <c r="A73" s="219" t="s">
        <v>2</v>
      </c>
      <c r="B73" s="367" t="s">
        <v>59</v>
      </c>
      <c r="C73" s="367"/>
      <c r="D73" s="367"/>
      <c r="E73" s="367"/>
      <c r="F73" s="367"/>
      <c r="G73" s="367"/>
      <c r="H73" s="250">
        <f>0.05*(1/12)/30*3</f>
        <v>4.1666666666666664E-4</v>
      </c>
      <c r="I73" s="220">
        <f t="shared" ref="I73:I78" si="1">$I$35*H73</f>
        <v>0.73197430500000005</v>
      </c>
      <c r="J73" s="247"/>
      <c r="K73" s="248"/>
      <c r="L73" s="248"/>
      <c r="M73" s="248"/>
      <c r="N73" s="248"/>
      <c r="O73" s="248"/>
      <c r="P73" s="248"/>
    </row>
    <row r="74" spans="1:16" s="83" customFormat="1" ht="13.5" customHeight="1" x14ac:dyDescent="0.25">
      <c r="A74" s="201" t="s">
        <v>4</v>
      </c>
      <c r="B74" s="364" t="s">
        <v>60</v>
      </c>
      <c r="C74" s="364"/>
      <c r="D74" s="364"/>
      <c r="E74" s="364"/>
      <c r="F74" s="364"/>
      <c r="G74" s="364"/>
      <c r="H74" s="84">
        <f>H51*H73</f>
        <v>3.3333333333333335E-5</v>
      </c>
      <c r="I74" s="81">
        <f t="shared" si="1"/>
        <v>5.8557944400000006E-2</v>
      </c>
      <c r="J74" s="82"/>
      <c r="K74" s="21"/>
      <c r="L74" s="21"/>
      <c r="M74" s="21"/>
      <c r="N74" s="21"/>
      <c r="O74" s="21"/>
      <c r="P74" s="21"/>
    </row>
    <row r="75" spans="1:16" s="83" customFormat="1" ht="13.5" customHeight="1" x14ac:dyDescent="0.25">
      <c r="A75" s="201" t="s">
        <v>6</v>
      </c>
      <c r="B75" s="364" t="s">
        <v>61</v>
      </c>
      <c r="C75" s="364"/>
      <c r="D75" s="364"/>
      <c r="E75" s="364"/>
      <c r="F75" s="364"/>
      <c r="G75" s="364"/>
      <c r="H75" s="84">
        <f>40%*H51*5%</f>
        <v>1.6000000000000001E-3</v>
      </c>
      <c r="I75" s="81">
        <f t="shared" si="1"/>
        <v>2.8107813312000003</v>
      </c>
      <c r="J75" s="82"/>
      <c r="K75" s="21"/>
      <c r="L75" s="21"/>
      <c r="M75" s="21"/>
      <c r="N75" s="21"/>
      <c r="O75" s="21"/>
      <c r="P75" s="21"/>
    </row>
    <row r="76" spans="1:16" s="249" customFormat="1" ht="13.5" customHeight="1" x14ac:dyDescent="0.25">
      <c r="A76" s="219" t="s">
        <v>8</v>
      </c>
      <c r="B76" s="367" t="s">
        <v>62</v>
      </c>
      <c r="C76" s="367"/>
      <c r="D76" s="367"/>
      <c r="E76" s="367"/>
      <c r="F76" s="367"/>
      <c r="G76" s="367"/>
      <c r="H76" s="246">
        <f>(1/30)*7/12*100%/30*3</f>
        <v>1.9444444444444444E-3</v>
      </c>
      <c r="I76" s="220">
        <f t="shared" si="1"/>
        <v>3.4158800900000004</v>
      </c>
      <c r="J76" s="247"/>
      <c r="K76" s="248"/>
      <c r="L76" s="248"/>
      <c r="M76" s="248"/>
      <c r="N76" s="248"/>
      <c r="O76" s="248"/>
      <c r="P76" s="248"/>
    </row>
    <row r="77" spans="1:16" s="83" customFormat="1" ht="13.5" customHeight="1" x14ac:dyDescent="0.25">
      <c r="A77" s="201" t="s">
        <v>24</v>
      </c>
      <c r="B77" s="364" t="s">
        <v>63</v>
      </c>
      <c r="C77" s="364"/>
      <c r="D77" s="364"/>
      <c r="E77" s="364"/>
      <c r="F77" s="364"/>
      <c r="G77" s="364"/>
      <c r="H77" s="85">
        <f>H52*H76</f>
        <v>6.9766666666666675E-4</v>
      </c>
      <c r="I77" s="81">
        <f t="shared" si="1"/>
        <v>1.2256177762920002</v>
      </c>
      <c r="J77" s="82"/>
      <c r="K77" s="21"/>
      <c r="L77" s="21"/>
      <c r="M77" s="21"/>
      <c r="N77" s="21"/>
      <c r="O77" s="21"/>
      <c r="P77" s="21"/>
    </row>
    <row r="78" spans="1:16" s="83" customFormat="1" ht="13.5" customHeight="1" x14ac:dyDescent="0.25">
      <c r="A78" s="201" t="s">
        <v>26</v>
      </c>
      <c r="B78" s="364" t="s">
        <v>64</v>
      </c>
      <c r="C78" s="364"/>
      <c r="D78" s="364"/>
      <c r="E78" s="364"/>
      <c r="F78" s="364"/>
      <c r="G78" s="364"/>
      <c r="H78" s="80">
        <f>40%*H51*95%</f>
        <v>3.04E-2</v>
      </c>
      <c r="I78" s="81">
        <f t="shared" si="1"/>
        <v>53.404845292800005</v>
      </c>
      <c r="J78" s="82"/>
      <c r="K78" s="129"/>
      <c r="L78" s="21"/>
      <c r="M78" s="21"/>
      <c r="N78" s="21"/>
      <c r="O78" s="21"/>
      <c r="P78" s="21"/>
    </row>
    <row r="79" spans="1:16" ht="13.5" customHeight="1" x14ac:dyDescent="0.25">
      <c r="A79" s="336" t="s">
        <v>65</v>
      </c>
      <c r="B79" s="337"/>
      <c r="C79" s="337"/>
      <c r="D79" s="337"/>
      <c r="E79" s="337"/>
      <c r="F79" s="337"/>
      <c r="G79" s="338"/>
      <c r="H79" s="63">
        <f>SUM(H73:H78)</f>
        <v>3.5092111111111109E-2</v>
      </c>
      <c r="I79" s="60">
        <f>SUM(I73:I78)</f>
        <v>61.64765673969201</v>
      </c>
      <c r="J79" s="61"/>
    </row>
    <row r="80" spans="1:16" x14ac:dyDescent="0.25">
      <c r="A80" s="141"/>
      <c r="B80" s="365"/>
      <c r="C80" s="365"/>
      <c r="D80" s="365"/>
      <c r="E80" s="365"/>
      <c r="F80" s="365"/>
      <c r="G80" s="365"/>
      <c r="H80" s="365"/>
      <c r="I80" s="144"/>
      <c r="J80" s="144"/>
    </row>
    <row r="81" spans="1:16" ht="13.5" customHeight="1" x14ac:dyDescent="0.25">
      <c r="A81" s="347" t="s">
        <v>126</v>
      </c>
      <c r="B81" s="347"/>
      <c r="C81" s="347"/>
      <c r="D81" s="347"/>
      <c r="E81" s="347"/>
      <c r="F81" s="347"/>
      <c r="G81" s="347"/>
      <c r="H81" s="347"/>
      <c r="I81" s="347"/>
      <c r="J81" s="54"/>
    </row>
    <row r="82" spans="1:16" ht="13.5" customHeight="1" x14ac:dyDescent="0.25">
      <c r="A82" s="142" t="s">
        <v>66</v>
      </c>
      <c r="B82" s="359" t="s">
        <v>67</v>
      </c>
      <c r="C82" s="359"/>
      <c r="D82" s="359"/>
      <c r="E82" s="359"/>
      <c r="F82" s="359"/>
      <c r="G82" s="359"/>
      <c r="H82" s="142" t="s">
        <v>18</v>
      </c>
      <c r="I82" s="142" t="s">
        <v>19</v>
      </c>
      <c r="J82" s="55"/>
    </row>
    <row r="83" spans="1:16" ht="13.5" customHeight="1" x14ac:dyDescent="0.25">
      <c r="A83" s="137" t="s">
        <v>2</v>
      </c>
      <c r="B83" s="334" t="s">
        <v>68</v>
      </c>
      <c r="C83" s="334"/>
      <c r="D83" s="334"/>
      <c r="E83" s="334"/>
      <c r="F83" s="334"/>
      <c r="G83" s="334"/>
      <c r="H83" s="86">
        <f>(( 1+1/3)/12)/12</f>
        <v>9.2592592592592587E-3</v>
      </c>
      <c r="I83" s="56">
        <f>SUM($I$35,$I$69,$I$79)*H83</f>
        <v>32.442439711949007</v>
      </c>
      <c r="J83" s="57"/>
    </row>
    <row r="84" spans="1:16" s="223" customFormat="1" ht="13.5" customHeight="1" x14ac:dyDescent="0.25">
      <c r="A84" s="219" t="s">
        <v>4</v>
      </c>
      <c r="B84" s="355" t="s">
        <v>69</v>
      </c>
      <c r="C84" s="355"/>
      <c r="D84" s="355"/>
      <c r="E84" s="355"/>
      <c r="F84" s="355"/>
      <c r="G84" s="355"/>
      <c r="H84" s="250">
        <v>0</v>
      </c>
      <c r="I84" s="220">
        <f>SUM($I$35,$I$69,$I$79)*H84</f>
        <v>0</v>
      </c>
      <c r="J84" s="221"/>
      <c r="K84" s="222"/>
      <c r="L84" s="222"/>
      <c r="M84" s="222"/>
      <c r="N84" s="222"/>
      <c r="O84" s="222"/>
      <c r="P84" s="222"/>
    </row>
    <row r="85" spans="1:16" s="223" customFormat="1" ht="13.5" customHeight="1" x14ac:dyDescent="0.25">
      <c r="A85" s="219" t="s">
        <v>6</v>
      </c>
      <c r="B85" s="355" t="s">
        <v>70</v>
      </c>
      <c r="C85" s="355"/>
      <c r="D85" s="355"/>
      <c r="E85" s="355"/>
      <c r="F85" s="355"/>
      <c r="G85" s="355"/>
      <c r="H85" s="250">
        <v>0</v>
      </c>
      <c r="I85" s="220">
        <f>SUM($I$35,$I$69,$I$79)*H85</f>
        <v>0</v>
      </c>
      <c r="J85" s="221"/>
      <c r="K85" s="222"/>
      <c r="L85" s="222"/>
      <c r="M85" s="222"/>
      <c r="N85" s="222"/>
      <c r="O85" s="222"/>
      <c r="P85" s="222"/>
    </row>
    <row r="86" spans="1:16" s="223" customFormat="1" ht="13.5" customHeight="1" x14ac:dyDescent="0.25">
      <c r="A86" s="219" t="s">
        <v>8</v>
      </c>
      <c r="B86" s="355" t="s">
        <v>71</v>
      </c>
      <c r="C86" s="355"/>
      <c r="D86" s="355"/>
      <c r="E86" s="355"/>
      <c r="F86" s="355"/>
      <c r="G86" s="355"/>
      <c r="H86" s="250">
        <v>0</v>
      </c>
      <c r="I86" s="220">
        <f>SUM($I$35,$I$69,$I$79)*H86</f>
        <v>0</v>
      </c>
      <c r="J86" s="221"/>
      <c r="K86" s="222"/>
      <c r="L86" s="222"/>
      <c r="M86" s="222"/>
      <c r="N86" s="222"/>
      <c r="O86" s="222"/>
      <c r="P86" s="222"/>
    </row>
    <row r="87" spans="1:16" s="223" customFormat="1" ht="13.5" customHeight="1" x14ac:dyDescent="0.25">
      <c r="A87" s="219" t="s">
        <v>24</v>
      </c>
      <c r="B87" s="355" t="s">
        <v>72</v>
      </c>
      <c r="C87" s="355"/>
      <c r="D87" s="355"/>
      <c r="E87" s="355"/>
      <c r="F87" s="355"/>
      <c r="G87" s="355"/>
      <c r="H87" s="250">
        <v>0</v>
      </c>
      <c r="I87" s="220">
        <f>SUM($I$35,$I$69,$I$79)*H87</f>
        <v>0</v>
      </c>
      <c r="J87" s="221"/>
      <c r="K87" s="222"/>
      <c r="L87" s="222"/>
      <c r="M87" s="222"/>
      <c r="N87" s="222"/>
      <c r="O87" s="222"/>
      <c r="P87" s="222"/>
    </row>
    <row r="88" spans="1:16" s="223" customFormat="1" ht="13.5" customHeight="1" x14ac:dyDescent="0.25">
      <c r="A88" s="219" t="s">
        <v>26</v>
      </c>
      <c r="B88" s="355" t="s">
        <v>134</v>
      </c>
      <c r="C88" s="355"/>
      <c r="D88" s="355"/>
      <c r="E88" s="355"/>
      <c r="F88" s="355"/>
      <c r="G88" s="355"/>
      <c r="H88" s="246">
        <v>0</v>
      </c>
      <c r="I88" s="220">
        <f t="shared" ref="I88" si="2">SUM($I$35,$I$69,$I$79)*H88</f>
        <v>0</v>
      </c>
      <c r="J88" s="221"/>
      <c r="K88" s="222"/>
      <c r="L88" s="222"/>
      <c r="M88" s="222"/>
      <c r="N88" s="222"/>
      <c r="O88" s="222"/>
      <c r="P88" s="222"/>
    </row>
    <row r="89" spans="1:16" ht="13.5" customHeight="1" x14ac:dyDescent="0.25">
      <c r="A89" s="87"/>
      <c r="B89" s="359" t="s">
        <v>73</v>
      </c>
      <c r="C89" s="359"/>
      <c r="D89" s="359"/>
      <c r="E89" s="359"/>
      <c r="F89" s="359"/>
      <c r="G89" s="359"/>
      <c r="H89" s="88">
        <f>SUM(H83:H88)</f>
        <v>9.2592592592592587E-3</v>
      </c>
      <c r="I89" s="64">
        <f>SUM(I83:I88)</f>
        <v>32.442439711949007</v>
      </c>
      <c r="J89" s="65"/>
      <c r="K89" s="31"/>
      <c r="L89" s="33"/>
      <c r="M89" s="34"/>
    </row>
    <row r="90" spans="1:16" ht="5.25" customHeight="1" x14ac:dyDescent="0.25">
      <c r="A90" s="89"/>
      <c r="B90" s="329"/>
      <c r="C90" s="329"/>
      <c r="D90" s="329"/>
      <c r="E90" s="329"/>
      <c r="F90" s="329"/>
      <c r="G90" s="330"/>
      <c r="H90" s="330"/>
      <c r="I90" s="72"/>
      <c r="J90" s="72"/>
    </row>
    <row r="91" spans="1:16" ht="13.5" customHeight="1" x14ac:dyDescent="0.25">
      <c r="A91" s="142" t="s">
        <v>74</v>
      </c>
      <c r="B91" s="360" t="s">
        <v>75</v>
      </c>
      <c r="C91" s="361"/>
      <c r="D91" s="361"/>
      <c r="E91" s="361"/>
      <c r="F91" s="361"/>
      <c r="G91" s="361"/>
      <c r="H91" s="362"/>
      <c r="I91" s="142" t="s">
        <v>19</v>
      </c>
      <c r="J91" s="55"/>
    </row>
    <row r="92" spans="1:16" ht="13.5" customHeight="1" x14ac:dyDescent="0.25">
      <c r="A92" s="137" t="s">
        <v>2</v>
      </c>
      <c r="B92" s="339" t="s">
        <v>208</v>
      </c>
      <c r="C92" s="340"/>
      <c r="D92" s="340"/>
      <c r="E92" s="340"/>
      <c r="F92" s="340"/>
      <c r="G92" s="340"/>
      <c r="H92" s="363"/>
      <c r="I92" s="90">
        <v>0</v>
      </c>
      <c r="J92" s="91"/>
    </row>
    <row r="93" spans="1:16" ht="13.5" customHeight="1" x14ac:dyDescent="0.25">
      <c r="A93" s="87"/>
      <c r="B93" s="336" t="s">
        <v>76</v>
      </c>
      <c r="C93" s="337"/>
      <c r="D93" s="337"/>
      <c r="E93" s="337"/>
      <c r="F93" s="337"/>
      <c r="G93" s="337"/>
      <c r="H93" s="338"/>
      <c r="I93" s="64">
        <f>SUM(I92)</f>
        <v>0</v>
      </c>
      <c r="J93" s="65"/>
    </row>
    <row r="94" spans="1:16" x14ac:dyDescent="0.25">
      <c r="A94" s="89"/>
      <c r="B94" s="329"/>
      <c r="C94" s="329"/>
      <c r="D94" s="329"/>
      <c r="E94" s="329"/>
      <c r="F94" s="329"/>
      <c r="G94" s="330"/>
      <c r="H94" s="330"/>
      <c r="I94" s="72"/>
      <c r="J94" s="72"/>
    </row>
    <row r="95" spans="1:16" ht="13.5" customHeight="1" x14ac:dyDescent="0.25">
      <c r="A95" s="356" t="s">
        <v>77</v>
      </c>
      <c r="B95" s="356"/>
      <c r="C95" s="356"/>
      <c r="D95" s="356"/>
      <c r="E95" s="356"/>
      <c r="F95" s="356"/>
      <c r="G95" s="356"/>
      <c r="H95" s="356"/>
      <c r="I95" s="356"/>
      <c r="J95" s="49"/>
    </row>
    <row r="96" spans="1:16" ht="13.5" customHeight="1" x14ac:dyDescent="0.25">
      <c r="A96" s="79" t="s">
        <v>66</v>
      </c>
      <c r="B96" s="357" t="s">
        <v>69</v>
      </c>
      <c r="C96" s="357"/>
      <c r="D96" s="357"/>
      <c r="E96" s="357"/>
      <c r="F96" s="357"/>
      <c r="G96" s="357"/>
      <c r="H96" s="357"/>
      <c r="I96" s="56">
        <f>I89</f>
        <v>32.442439711949007</v>
      </c>
      <c r="J96" s="57"/>
    </row>
    <row r="97" spans="1:16" ht="13.5" customHeight="1" x14ac:dyDescent="0.25">
      <c r="A97" s="79" t="s">
        <v>74</v>
      </c>
      <c r="B97" s="358" t="s">
        <v>78</v>
      </c>
      <c r="C97" s="358"/>
      <c r="D97" s="358"/>
      <c r="E97" s="358"/>
      <c r="F97" s="358"/>
      <c r="G97" s="358"/>
      <c r="H97" s="358"/>
      <c r="I97" s="56">
        <f>I93</f>
        <v>0</v>
      </c>
      <c r="J97" s="57"/>
    </row>
    <row r="98" spans="1:16" ht="13.5" customHeight="1" x14ac:dyDescent="0.25">
      <c r="A98" s="335" t="s">
        <v>79</v>
      </c>
      <c r="B98" s="335"/>
      <c r="C98" s="335"/>
      <c r="D98" s="335"/>
      <c r="E98" s="335"/>
      <c r="F98" s="335"/>
      <c r="G98" s="335"/>
      <c r="H98" s="335"/>
      <c r="I98" s="60">
        <f>SUM(I96:I97)</f>
        <v>32.442439711949007</v>
      </c>
      <c r="J98" s="61"/>
    </row>
    <row r="99" spans="1:16" x14ac:dyDescent="0.25">
      <c r="A99" s="89"/>
      <c r="B99" s="329"/>
      <c r="C99" s="329"/>
      <c r="D99" s="329"/>
      <c r="E99" s="329"/>
      <c r="F99" s="329"/>
      <c r="G99" s="330"/>
      <c r="H99" s="330"/>
      <c r="I99" s="72"/>
      <c r="J99" s="72"/>
    </row>
    <row r="100" spans="1:16" ht="13.5" customHeight="1" x14ac:dyDescent="0.25">
      <c r="A100" s="347" t="s">
        <v>128</v>
      </c>
      <c r="B100" s="347"/>
      <c r="C100" s="347"/>
      <c r="D100" s="347"/>
      <c r="E100" s="347"/>
      <c r="F100" s="347"/>
      <c r="G100" s="347"/>
      <c r="H100" s="347"/>
      <c r="I100" s="347"/>
      <c r="J100" s="54"/>
    </row>
    <row r="101" spans="1:16" ht="13.5" customHeight="1" x14ac:dyDescent="0.25">
      <c r="A101" s="142">
        <v>5</v>
      </c>
      <c r="B101" s="335" t="s">
        <v>80</v>
      </c>
      <c r="C101" s="335"/>
      <c r="D101" s="335"/>
      <c r="E101" s="335"/>
      <c r="F101" s="335"/>
      <c r="G101" s="335"/>
      <c r="H101" s="335"/>
      <c r="I101" s="142" t="s">
        <v>19</v>
      </c>
      <c r="J101" s="55"/>
    </row>
    <row r="102" spans="1:16" ht="13.5" customHeight="1" x14ac:dyDescent="0.25">
      <c r="A102" s="137" t="s">
        <v>2</v>
      </c>
      <c r="B102" s="349" t="s">
        <v>142</v>
      </c>
      <c r="C102" s="349"/>
      <c r="D102" s="349"/>
      <c r="E102" s="349"/>
      <c r="F102" s="349"/>
      <c r="G102" s="349"/>
      <c r="H102" s="349"/>
      <c r="I102" s="92">
        <f>(UNIF!G44+UNIF!G59)/2</f>
        <v>70.03164653219622</v>
      </c>
      <c r="J102" s="93"/>
    </row>
    <row r="103" spans="1:16" ht="13.5" customHeight="1" x14ac:dyDescent="0.25">
      <c r="A103" s="137" t="s">
        <v>4</v>
      </c>
      <c r="B103" s="349" t="s">
        <v>81</v>
      </c>
      <c r="C103" s="349"/>
      <c r="D103" s="349"/>
      <c r="E103" s="349"/>
      <c r="F103" s="349"/>
      <c r="G103" s="349"/>
      <c r="H103" s="349"/>
      <c r="I103" s="92">
        <v>0</v>
      </c>
      <c r="J103" s="93"/>
    </row>
    <row r="104" spans="1:16" ht="13.5" customHeight="1" x14ac:dyDescent="0.25">
      <c r="A104" s="137" t="s">
        <v>6</v>
      </c>
      <c r="B104" s="349" t="s">
        <v>206</v>
      </c>
      <c r="C104" s="349"/>
      <c r="D104" s="349"/>
      <c r="E104" s="349"/>
      <c r="F104" s="349"/>
      <c r="G104" s="349"/>
      <c r="H104" s="349"/>
      <c r="I104" s="92">
        <v>0</v>
      </c>
      <c r="J104" s="93"/>
    </row>
    <row r="105" spans="1:16" s="78" customFormat="1" ht="13.5" customHeight="1" x14ac:dyDescent="0.25">
      <c r="A105" s="146" t="s">
        <v>8</v>
      </c>
      <c r="B105" s="350" t="s">
        <v>132</v>
      </c>
      <c r="C105" s="351"/>
      <c r="D105" s="351"/>
      <c r="E105" s="351"/>
      <c r="F105" s="351"/>
      <c r="G105" s="351"/>
      <c r="H105" s="352"/>
      <c r="I105" s="76">
        <v>0</v>
      </c>
      <c r="J105" s="77"/>
      <c r="K105" s="32"/>
      <c r="L105" s="32"/>
      <c r="M105" s="32"/>
      <c r="N105" s="32"/>
      <c r="O105" s="32"/>
      <c r="P105" s="32"/>
    </row>
    <row r="106" spans="1:16" ht="13.5" customHeight="1" x14ac:dyDescent="0.25">
      <c r="A106" s="335" t="s">
        <v>82</v>
      </c>
      <c r="B106" s="335"/>
      <c r="C106" s="335"/>
      <c r="D106" s="335"/>
      <c r="E106" s="335"/>
      <c r="F106" s="335"/>
      <c r="G106" s="335"/>
      <c r="H106" s="335"/>
      <c r="I106" s="60">
        <f>SUM(I102:I105)</f>
        <v>70.03164653219622</v>
      </c>
      <c r="J106" s="61"/>
    </row>
    <row r="107" spans="1:16" x14ac:dyDescent="0.25">
      <c r="A107" s="353"/>
      <c r="B107" s="353"/>
      <c r="C107" s="353"/>
      <c r="D107" s="353"/>
      <c r="E107" s="353"/>
      <c r="F107" s="353"/>
      <c r="G107" s="354"/>
      <c r="H107" s="354"/>
      <c r="I107" s="66"/>
      <c r="J107" s="66"/>
    </row>
    <row r="108" spans="1:16" ht="13.5" customHeight="1" x14ac:dyDescent="0.25">
      <c r="A108" s="347" t="s">
        <v>129</v>
      </c>
      <c r="B108" s="347"/>
      <c r="C108" s="347"/>
      <c r="D108" s="347"/>
      <c r="E108" s="347"/>
      <c r="F108" s="347"/>
      <c r="G108" s="347"/>
      <c r="H108" s="347"/>
      <c r="I108" s="347"/>
      <c r="J108" s="54"/>
    </row>
    <row r="109" spans="1:16" ht="13.5" customHeight="1" x14ac:dyDescent="0.25">
      <c r="A109" s="142">
        <v>6</v>
      </c>
      <c r="B109" s="335" t="s">
        <v>83</v>
      </c>
      <c r="C109" s="335"/>
      <c r="D109" s="335"/>
      <c r="E109" s="335"/>
      <c r="F109" s="335"/>
      <c r="G109" s="335"/>
      <c r="H109" s="142" t="s">
        <v>18</v>
      </c>
      <c r="I109" s="142" t="s">
        <v>19</v>
      </c>
      <c r="J109" s="55"/>
    </row>
    <row r="110" spans="1:16" s="83" customFormat="1" ht="13.5" customHeight="1" x14ac:dyDescent="0.25">
      <c r="A110" s="145" t="s">
        <v>2</v>
      </c>
      <c r="B110" s="348" t="s">
        <v>84</v>
      </c>
      <c r="C110" s="348"/>
      <c r="D110" s="348"/>
      <c r="E110" s="348"/>
      <c r="F110" s="348"/>
      <c r="G110" s="348"/>
      <c r="H110" s="94">
        <v>1.4999999999999999E-2</v>
      </c>
      <c r="I110" s="95">
        <f>SUM($I$129)*H110</f>
        <v>54.093863627019566</v>
      </c>
      <c r="J110" s="96"/>
      <c r="K110" s="178" t="s">
        <v>312</v>
      </c>
      <c r="L110" s="180">
        <v>15605.65</v>
      </c>
      <c r="M110" s="180"/>
      <c r="N110" s="21"/>
      <c r="O110" s="21"/>
      <c r="P110" s="21"/>
    </row>
    <row r="111" spans="1:16" s="83" customFormat="1" ht="13.5" customHeight="1" x14ac:dyDescent="0.25">
      <c r="A111" s="145" t="s">
        <v>4</v>
      </c>
      <c r="B111" s="348" t="s">
        <v>85</v>
      </c>
      <c r="C111" s="348"/>
      <c r="D111" s="348"/>
      <c r="E111" s="348"/>
      <c r="F111" s="348"/>
      <c r="G111" s="348"/>
      <c r="H111" s="94">
        <v>1.3391999999999999E-2</v>
      </c>
      <c r="I111" s="95">
        <f>SUM($I$129,I110)*H111</f>
        <v>49.01942646789611</v>
      </c>
      <c r="J111" s="96"/>
      <c r="K111" s="178" t="s">
        <v>313</v>
      </c>
      <c r="L111" s="180">
        <f>PROPOSTA!I43</f>
        <v>19837.449999999997</v>
      </c>
      <c r="M111" s="180"/>
      <c r="N111" s="21"/>
      <c r="O111" s="21"/>
      <c r="P111" s="21"/>
    </row>
    <row r="112" spans="1:16" ht="13.5" customHeight="1" x14ac:dyDescent="0.25">
      <c r="A112" s="137"/>
      <c r="B112" s="342"/>
      <c r="C112" s="342"/>
      <c r="D112" s="342"/>
      <c r="E112" s="343" t="s">
        <v>86</v>
      </c>
      <c r="F112" s="343"/>
      <c r="G112" s="343"/>
      <c r="H112" s="343"/>
      <c r="I112" s="97"/>
      <c r="J112" s="98"/>
      <c r="L112" s="181">
        <f>L110-L111</f>
        <v>-4231.7999999999975</v>
      </c>
      <c r="M112" s="181"/>
    </row>
    <row r="113" spans="1:10" ht="13.5" customHeight="1" x14ac:dyDescent="0.25">
      <c r="A113" s="137" t="s">
        <v>6</v>
      </c>
      <c r="B113" s="344" t="s">
        <v>87</v>
      </c>
      <c r="C113" s="344"/>
      <c r="D113" s="344"/>
      <c r="E113" s="345">
        <f>SUM(H115,H116,H119)</f>
        <v>6.5060000000000007E-2</v>
      </c>
      <c r="F113" s="346"/>
      <c r="G113" s="345">
        <f>1-((H115+H116+H119))</f>
        <v>0.93493999999999999</v>
      </c>
      <c r="H113" s="346"/>
      <c r="I113" s="99"/>
      <c r="J113" s="100"/>
    </row>
    <row r="114" spans="1:10" ht="13.5" customHeight="1" x14ac:dyDescent="0.25">
      <c r="A114" s="137" t="s">
        <v>88</v>
      </c>
      <c r="B114" s="339" t="s">
        <v>89</v>
      </c>
      <c r="C114" s="340"/>
      <c r="D114" s="340"/>
      <c r="E114" s="340"/>
      <c r="F114" s="340"/>
      <c r="G114" s="340"/>
      <c r="H114" s="340"/>
      <c r="I114" s="101"/>
      <c r="J114" s="102"/>
    </row>
    <row r="115" spans="1:10" ht="13.5" customHeight="1" x14ac:dyDescent="0.25">
      <c r="A115" s="103" t="s">
        <v>90</v>
      </c>
      <c r="B115" s="341" t="s">
        <v>91</v>
      </c>
      <c r="C115" s="341"/>
      <c r="D115" s="341"/>
      <c r="E115" s="341"/>
      <c r="F115" s="341"/>
      <c r="G115" s="341"/>
      <c r="H115" s="104">
        <v>2.6800000000000001E-3</v>
      </c>
      <c r="I115" s="97">
        <f>SUM($I$129,$I$110,$I$111)*H115/(1-$E$113)</f>
        <v>10.632889724276641</v>
      </c>
      <c r="J115" s="98"/>
    </row>
    <row r="116" spans="1:10" ht="13.5" customHeight="1" x14ac:dyDescent="0.25">
      <c r="A116" s="103" t="s">
        <v>92</v>
      </c>
      <c r="B116" s="341" t="s">
        <v>93</v>
      </c>
      <c r="C116" s="341"/>
      <c r="D116" s="341"/>
      <c r="E116" s="341"/>
      <c r="F116" s="341"/>
      <c r="G116" s="341"/>
      <c r="H116" s="104">
        <v>1.238E-2</v>
      </c>
      <c r="I116" s="97">
        <f>SUM($I$129,$I$110,$I$111)*H116/(1-$E$113)</f>
        <v>49.117602532292842</v>
      </c>
      <c r="J116" s="98"/>
    </row>
    <row r="117" spans="1:10" ht="13.5" customHeight="1" x14ac:dyDescent="0.25">
      <c r="A117" s="137" t="s">
        <v>94</v>
      </c>
      <c r="B117" s="339" t="s">
        <v>95</v>
      </c>
      <c r="C117" s="340"/>
      <c r="D117" s="340"/>
      <c r="E117" s="340"/>
      <c r="F117" s="340"/>
      <c r="G117" s="340"/>
      <c r="H117" s="340"/>
      <c r="I117" s="101"/>
      <c r="J117" s="102"/>
    </row>
    <row r="118" spans="1:10" ht="13.5" customHeight="1" x14ac:dyDescent="0.25">
      <c r="A118" s="137" t="s">
        <v>96</v>
      </c>
      <c r="B118" s="339" t="s">
        <v>97</v>
      </c>
      <c r="C118" s="340"/>
      <c r="D118" s="340"/>
      <c r="E118" s="340"/>
      <c r="F118" s="340"/>
      <c r="G118" s="340"/>
      <c r="H118" s="340"/>
      <c r="I118" s="101"/>
      <c r="J118" s="102"/>
    </row>
    <row r="119" spans="1:10" ht="13.5" customHeight="1" x14ac:dyDescent="0.25">
      <c r="A119" s="103" t="s">
        <v>98</v>
      </c>
      <c r="B119" s="341" t="s">
        <v>99</v>
      </c>
      <c r="C119" s="341"/>
      <c r="D119" s="341"/>
      <c r="E119" s="341"/>
      <c r="F119" s="341"/>
      <c r="G119" s="341"/>
      <c r="H119" s="105">
        <v>0.05</v>
      </c>
      <c r="I119" s="97">
        <f>SUM($I$129,$I$110,$I$111)*H119/(1-$E$113)</f>
        <v>198.37480828874334</v>
      </c>
      <c r="J119" s="98"/>
    </row>
    <row r="120" spans="1:10" ht="13.5" customHeight="1" x14ac:dyDescent="0.25">
      <c r="A120" s="335" t="s">
        <v>100</v>
      </c>
      <c r="B120" s="335"/>
      <c r="C120" s="335"/>
      <c r="D120" s="335"/>
      <c r="E120" s="335"/>
      <c r="F120" s="335"/>
      <c r="G120" s="335"/>
      <c r="H120" s="335"/>
      <c r="I120" s="60">
        <f>SUM(I110:I119)</f>
        <v>361.23859064022849</v>
      </c>
      <c r="J120" s="61"/>
    </row>
    <row r="121" spans="1:10" x14ac:dyDescent="0.25">
      <c r="A121" s="89"/>
      <c r="B121" s="329"/>
      <c r="C121" s="329"/>
      <c r="D121" s="329"/>
      <c r="E121" s="329"/>
      <c r="F121" s="329"/>
      <c r="G121" s="330"/>
      <c r="H121" s="330"/>
      <c r="I121" s="72"/>
      <c r="J121" s="72"/>
    </row>
    <row r="122" spans="1:10" ht="13.5" customHeight="1" x14ac:dyDescent="0.25">
      <c r="A122" s="325" t="s">
        <v>101</v>
      </c>
      <c r="B122" s="325"/>
      <c r="C122" s="325"/>
      <c r="D122" s="325"/>
      <c r="E122" s="325"/>
      <c r="F122" s="325"/>
      <c r="G122" s="325"/>
      <c r="H122" s="325"/>
      <c r="I122" s="325"/>
      <c r="J122" s="106"/>
    </row>
    <row r="123" spans="1:10" ht="13.5" customHeight="1" x14ac:dyDescent="0.25">
      <c r="A123" s="142"/>
      <c r="B123" s="336" t="s">
        <v>102</v>
      </c>
      <c r="C123" s="337"/>
      <c r="D123" s="337"/>
      <c r="E123" s="337"/>
      <c r="F123" s="337"/>
      <c r="G123" s="337"/>
      <c r="H123" s="338"/>
      <c r="I123" s="142" t="s">
        <v>19</v>
      </c>
      <c r="J123" s="55"/>
    </row>
    <row r="124" spans="1:10" ht="13.5" customHeight="1" x14ac:dyDescent="0.25">
      <c r="A124" s="137" t="s">
        <v>2</v>
      </c>
      <c r="B124" s="333" t="s">
        <v>103</v>
      </c>
      <c r="C124" s="333"/>
      <c r="D124" s="333"/>
      <c r="E124" s="333"/>
      <c r="F124" s="333"/>
      <c r="G124" s="333"/>
      <c r="H124" s="333"/>
      <c r="I124" s="56">
        <f>I35</f>
        <v>1756.7383320000001</v>
      </c>
      <c r="J124" s="57"/>
    </row>
    <row r="125" spans="1:10" ht="13.5" customHeight="1" x14ac:dyDescent="0.25">
      <c r="A125" s="137" t="s">
        <v>4</v>
      </c>
      <c r="B125" s="333" t="s">
        <v>104</v>
      </c>
      <c r="C125" s="333"/>
      <c r="D125" s="333"/>
      <c r="E125" s="333"/>
      <c r="F125" s="333"/>
      <c r="G125" s="333"/>
      <c r="H125" s="333"/>
      <c r="I125" s="56">
        <f>I69</f>
        <v>1685.3975001508002</v>
      </c>
      <c r="J125" s="57"/>
    </row>
    <row r="126" spans="1:10" ht="13.5" customHeight="1" x14ac:dyDescent="0.25">
      <c r="A126" s="137" t="s">
        <v>6</v>
      </c>
      <c r="B126" s="333" t="s">
        <v>105</v>
      </c>
      <c r="C126" s="333"/>
      <c r="D126" s="333"/>
      <c r="E126" s="333"/>
      <c r="F126" s="333"/>
      <c r="G126" s="333"/>
      <c r="H126" s="333"/>
      <c r="I126" s="56">
        <f>I79</f>
        <v>61.64765673969201</v>
      </c>
      <c r="J126" s="57"/>
    </row>
    <row r="127" spans="1:10" ht="13.5" customHeight="1" x14ac:dyDescent="0.25">
      <c r="A127" s="137" t="s">
        <v>8</v>
      </c>
      <c r="B127" s="333" t="s">
        <v>106</v>
      </c>
      <c r="C127" s="333"/>
      <c r="D127" s="333"/>
      <c r="E127" s="333"/>
      <c r="F127" s="333"/>
      <c r="G127" s="333"/>
      <c r="H127" s="333"/>
      <c r="I127" s="56">
        <f>I98</f>
        <v>32.442439711949007</v>
      </c>
      <c r="J127" s="57"/>
    </row>
    <row r="128" spans="1:10" ht="13.5" customHeight="1" x14ac:dyDescent="0.25">
      <c r="A128" s="137" t="s">
        <v>24</v>
      </c>
      <c r="B128" s="333" t="s">
        <v>107</v>
      </c>
      <c r="C128" s="333"/>
      <c r="D128" s="333"/>
      <c r="E128" s="333"/>
      <c r="F128" s="333"/>
      <c r="G128" s="333"/>
      <c r="H128" s="333"/>
      <c r="I128" s="56">
        <f>I106</f>
        <v>70.03164653219622</v>
      </c>
      <c r="J128" s="57"/>
    </row>
    <row r="129" spans="1:12" ht="13.5" customHeight="1" x14ac:dyDescent="0.25">
      <c r="A129" s="328" t="s">
        <v>108</v>
      </c>
      <c r="B129" s="328"/>
      <c r="C129" s="328"/>
      <c r="D129" s="328"/>
      <c r="E129" s="328"/>
      <c r="F129" s="328"/>
      <c r="G129" s="328"/>
      <c r="H129" s="328"/>
      <c r="I129" s="107">
        <f>SUM(I124:I128)</f>
        <v>3606.257575134638</v>
      </c>
      <c r="J129" s="108"/>
    </row>
    <row r="130" spans="1:12" ht="13.5" customHeight="1" x14ac:dyDescent="0.25">
      <c r="A130" s="137" t="s">
        <v>26</v>
      </c>
      <c r="B130" s="334" t="s">
        <v>109</v>
      </c>
      <c r="C130" s="334"/>
      <c r="D130" s="334"/>
      <c r="E130" s="334"/>
      <c r="F130" s="334"/>
      <c r="G130" s="334"/>
      <c r="H130" s="334"/>
      <c r="I130" s="56">
        <f>I120</f>
        <v>361.23859064022849</v>
      </c>
      <c r="J130" s="57"/>
    </row>
    <row r="131" spans="1:12" ht="13.5" customHeight="1" x14ac:dyDescent="0.25">
      <c r="A131" s="328" t="s">
        <v>110</v>
      </c>
      <c r="B131" s="328"/>
      <c r="C131" s="328"/>
      <c r="D131" s="328"/>
      <c r="E131" s="328"/>
      <c r="F131" s="328"/>
      <c r="G131" s="328"/>
      <c r="H131" s="328"/>
      <c r="I131" s="109">
        <f>TRUNC(SUM(I129:I130),2)</f>
        <v>3967.49</v>
      </c>
      <c r="J131" s="110"/>
      <c r="K131" s="35">
        <f>SUM(I35,I69,I79,I98,I106,I110,I111)/G113</f>
        <v>3967.4961657748663</v>
      </c>
    </row>
    <row r="132" spans="1:12" ht="13.5" customHeight="1" x14ac:dyDescent="0.25">
      <c r="A132" s="89"/>
      <c r="B132" s="329"/>
      <c r="C132" s="329"/>
      <c r="D132" s="329"/>
      <c r="E132" s="329"/>
      <c r="F132" s="329"/>
      <c r="G132" s="330"/>
      <c r="H132" s="330"/>
      <c r="I132" s="72"/>
      <c r="J132" s="72"/>
    </row>
    <row r="133" spans="1:12" ht="13.5" customHeight="1" x14ac:dyDescent="0.25">
      <c r="A133" s="325" t="s">
        <v>111</v>
      </c>
      <c r="B133" s="325"/>
      <c r="C133" s="325"/>
      <c r="D133" s="325"/>
      <c r="E133" s="325"/>
      <c r="F133" s="325"/>
      <c r="G133" s="325"/>
      <c r="H133" s="325"/>
      <c r="I133" s="325"/>
      <c r="J133" s="106"/>
    </row>
    <row r="134" spans="1:12" ht="36" x14ac:dyDescent="0.25">
      <c r="A134" s="331" t="s">
        <v>112</v>
      </c>
      <c r="B134" s="331"/>
      <c r="C134" s="331"/>
      <c r="D134" s="111" t="s">
        <v>113</v>
      </c>
      <c r="E134" s="138" t="s">
        <v>120</v>
      </c>
      <c r="F134" s="332" t="s">
        <v>121</v>
      </c>
      <c r="G134" s="332"/>
      <c r="H134" s="112" t="s">
        <v>114</v>
      </c>
      <c r="I134" s="113" t="s">
        <v>122</v>
      </c>
      <c r="J134" s="114"/>
    </row>
    <row r="135" spans="1:12" ht="21" customHeight="1" x14ac:dyDescent="0.25">
      <c r="A135" s="136" t="s">
        <v>115</v>
      </c>
      <c r="B135" s="323" t="str">
        <f>H23</f>
        <v>OPERADOR DE MICRO</v>
      </c>
      <c r="C135" s="323"/>
      <c r="D135" s="115">
        <f>I131</f>
        <v>3967.49</v>
      </c>
      <c r="E135" s="136">
        <v>1</v>
      </c>
      <c r="F135" s="324">
        <f>(D135*E135)</f>
        <v>3967.49</v>
      </c>
      <c r="G135" s="324"/>
      <c r="H135" s="136">
        <f>H18</f>
        <v>5</v>
      </c>
      <c r="I135" s="143">
        <f>F135*H135</f>
        <v>19837.449999999997</v>
      </c>
      <c r="J135" s="116"/>
    </row>
    <row r="136" spans="1:12" ht="13.5" customHeight="1" x14ac:dyDescent="0.25">
      <c r="A136" s="325" t="s">
        <v>116</v>
      </c>
      <c r="B136" s="325"/>
      <c r="C136" s="325"/>
      <c r="D136" s="325"/>
      <c r="E136" s="325"/>
      <c r="F136" s="325"/>
      <c r="G136" s="325"/>
      <c r="H136" s="325"/>
      <c r="I136" s="325"/>
      <c r="J136" s="106"/>
    </row>
    <row r="137" spans="1:12" ht="13.5" customHeight="1" x14ac:dyDescent="0.25">
      <c r="A137" s="136"/>
      <c r="B137" s="326" t="s">
        <v>117</v>
      </c>
      <c r="C137" s="326"/>
      <c r="D137" s="326"/>
      <c r="E137" s="326"/>
      <c r="F137" s="326"/>
      <c r="G137" s="326"/>
      <c r="H137" s="326"/>
      <c r="I137" s="117" t="s">
        <v>19</v>
      </c>
      <c r="J137" s="118"/>
    </row>
    <row r="138" spans="1:12" ht="13.5" customHeight="1" x14ac:dyDescent="0.25">
      <c r="A138" s="125" t="s">
        <v>2</v>
      </c>
      <c r="B138" s="327" t="s">
        <v>118</v>
      </c>
      <c r="C138" s="327"/>
      <c r="D138" s="327"/>
      <c r="E138" s="327"/>
      <c r="F138" s="327"/>
      <c r="G138" s="327"/>
      <c r="H138" s="327"/>
      <c r="I138" s="92">
        <f>F135</f>
        <v>3967.49</v>
      </c>
      <c r="J138" s="93"/>
      <c r="L138" s="35"/>
    </row>
    <row r="139" spans="1:12" ht="13.5" customHeight="1" x14ac:dyDescent="0.25">
      <c r="A139" s="136" t="s">
        <v>4</v>
      </c>
      <c r="B139" s="327" t="s">
        <v>119</v>
      </c>
      <c r="C139" s="327"/>
      <c r="D139" s="327"/>
      <c r="E139" s="327"/>
      <c r="F139" s="327"/>
      <c r="G139" s="327"/>
      <c r="H139" s="327"/>
      <c r="I139" s="92">
        <f>SUM(I138:I138)*H18</f>
        <v>19837.449999999997</v>
      </c>
      <c r="J139" s="93"/>
      <c r="K139" s="122"/>
      <c r="L139" s="119"/>
    </row>
    <row r="140" spans="1:12" ht="13.5" customHeight="1" x14ac:dyDescent="0.25">
      <c r="A140" s="136" t="s">
        <v>6</v>
      </c>
      <c r="B140" s="323" t="s">
        <v>123</v>
      </c>
      <c r="C140" s="323"/>
      <c r="D140" s="323"/>
      <c r="E140" s="323"/>
      <c r="F140" s="323"/>
      <c r="G140" s="323"/>
      <c r="H140" s="323"/>
      <c r="I140" s="120">
        <f>(I139*12)</f>
        <v>238049.39999999997</v>
      </c>
      <c r="J140" s="121"/>
    </row>
    <row r="141" spans="1:12" x14ac:dyDescent="0.25">
      <c r="I141" s="124"/>
    </row>
  </sheetData>
  <sheetProtection formatCells="0" formatColumns="0" formatRows="0" insertColumns="0" insertRows="0" insertHyperlinks="0" deleteColumns="0" deleteRows="0" sort="0" autoFilter="0" pivotTables="0"/>
  <mergeCells count="169">
    <mergeCell ref="A7:I7"/>
    <mergeCell ref="A8:I8"/>
    <mergeCell ref="A9:I9"/>
    <mergeCell ref="A10:I10"/>
    <mergeCell ref="A11:I11"/>
    <mergeCell ref="B12:D12"/>
    <mergeCell ref="E12:I12"/>
    <mergeCell ref="A1:I1"/>
    <mergeCell ref="A2:I2"/>
    <mergeCell ref="A3:I3"/>
    <mergeCell ref="A4:I4"/>
    <mergeCell ref="A5:I5"/>
    <mergeCell ref="A6:I6"/>
    <mergeCell ref="A16:I16"/>
    <mergeCell ref="A17:E17"/>
    <mergeCell ref="F17:G17"/>
    <mergeCell ref="H17:I17"/>
    <mergeCell ref="A18:E18"/>
    <mergeCell ref="F18:G18"/>
    <mergeCell ref="H18:I18"/>
    <mergeCell ref="B13:D13"/>
    <mergeCell ref="E13:I13"/>
    <mergeCell ref="B14:D14"/>
    <mergeCell ref="E14:I14"/>
    <mergeCell ref="B15:D15"/>
    <mergeCell ref="E15:I15"/>
    <mergeCell ref="B23:G23"/>
    <mergeCell ref="H23:I23"/>
    <mergeCell ref="B24:G24"/>
    <mergeCell ref="H24:I24"/>
    <mergeCell ref="A25:I25"/>
    <mergeCell ref="A26:I26"/>
    <mergeCell ref="A19:I19"/>
    <mergeCell ref="B20:G20"/>
    <mergeCell ref="H20:I20"/>
    <mergeCell ref="B21:G21"/>
    <mergeCell ref="H21:I21"/>
    <mergeCell ref="B22:G22"/>
    <mergeCell ref="H22:I22"/>
    <mergeCell ref="B30:F30"/>
    <mergeCell ref="G30:H30"/>
    <mergeCell ref="B31:F31"/>
    <mergeCell ref="G31:H31"/>
    <mergeCell ref="B32:F32"/>
    <mergeCell ref="G32:H32"/>
    <mergeCell ref="B27:F27"/>
    <mergeCell ref="G27:H27"/>
    <mergeCell ref="B28:F28"/>
    <mergeCell ref="G28:H28"/>
    <mergeCell ref="B29:F29"/>
    <mergeCell ref="G29:H29"/>
    <mergeCell ref="A37:I37"/>
    <mergeCell ref="B38:G38"/>
    <mergeCell ref="B39:G39"/>
    <mergeCell ref="B40:G40"/>
    <mergeCell ref="B41:G41"/>
    <mergeCell ref="B43:G43"/>
    <mergeCell ref="B33:F33"/>
    <mergeCell ref="G33:H33"/>
    <mergeCell ref="B34:F34"/>
    <mergeCell ref="G34:H34"/>
    <mergeCell ref="A35:H35"/>
    <mergeCell ref="A36:I36"/>
    <mergeCell ref="B50:G50"/>
    <mergeCell ref="B51:G51"/>
    <mergeCell ref="A52:G52"/>
    <mergeCell ref="B54:G54"/>
    <mergeCell ref="B55:G55"/>
    <mergeCell ref="B56:G56"/>
    <mergeCell ref="B44:G44"/>
    <mergeCell ref="B45:G45"/>
    <mergeCell ref="B46:G46"/>
    <mergeCell ref="B47:G47"/>
    <mergeCell ref="B48:G48"/>
    <mergeCell ref="B49:G49"/>
    <mergeCell ref="A63:H63"/>
    <mergeCell ref="A65:I65"/>
    <mergeCell ref="B66:H66"/>
    <mergeCell ref="B67:H67"/>
    <mergeCell ref="B68:H68"/>
    <mergeCell ref="A69:H69"/>
    <mergeCell ref="B57:G57"/>
    <mergeCell ref="B58:G58"/>
    <mergeCell ref="B59:G59"/>
    <mergeCell ref="B60:G60"/>
    <mergeCell ref="B61:G61"/>
    <mergeCell ref="B62:G62"/>
    <mergeCell ref="B77:G77"/>
    <mergeCell ref="B78:G78"/>
    <mergeCell ref="A79:G79"/>
    <mergeCell ref="B80:F80"/>
    <mergeCell ref="G80:H80"/>
    <mergeCell ref="A81:I81"/>
    <mergeCell ref="A71:I71"/>
    <mergeCell ref="B72:G72"/>
    <mergeCell ref="B73:G73"/>
    <mergeCell ref="B74:G74"/>
    <mergeCell ref="B75:G75"/>
    <mergeCell ref="B76:G76"/>
    <mergeCell ref="B88:G88"/>
    <mergeCell ref="B89:G89"/>
    <mergeCell ref="B90:F90"/>
    <mergeCell ref="G90:H90"/>
    <mergeCell ref="B91:H91"/>
    <mergeCell ref="B92:H92"/>
    <mergeCell ref="B82:G82"/>
    <mergeCell ref="B83:G83"/>
    <mergeCell ref="B84:G84"/>
    <mergeCell ref="B85:G85"/>
    <mergeCell ref="B86:G86"/>
    <mergeCell ref="B87:G87"/>
    <mergeCell ref="A98:H98"/>
    <mergeCell ref="B99:F99"/>
    <mergeCell ref="G99:H99"/>
    <mergeCell ref="A100:I100"/>
    <mergeCell ref="B101:H101"/>
    <mergeCell ref="B102:H102"/>
    <mergeCell ref="B93:H93"/>
    <mergeCell ref="B94:F94"/>
    <mergeCell ref="G94:H94"/>
    <mergeCell ref="A95:I95"/>
    <mergeCell ref="B96:H96"/>
    <mergeCell ref="B97:H97"/>
    <mergeCell ref="A108:I108"/>
    <mergeCell ref="B109:G109"/>
    <mergeCell ref="B110:G110"/>
    <mergeCell ref="B111:G111"/>
    <mergeCell ref="B103:H103"/>
    <mergeCell ref="B104:H104"/>
    <mergeCell ref="B105:H105"/>
    <mergeCell ref="A106:H106"/>
    <mergeCell ref="A107:F107"/>
    <mergeCell ref="G107:H107"/>
    <mergeCell ref="B114:H114"/>
    <mergeCell ref="B115:G115"/>
    <mergeCell ref="B116:G116"/>
    <mergeCell ref="B117:H117"/>
    <mergeCell ref="B118:H118"/>
    <mergeCell ref="B119:G119"/>
    <mergeCell ref="B112:D112"/>
    <mergeCell ref="E112:H112"/>
    <mergeCell ref="B113:D113"/>
    <mergeCell ref="E113:F113"/>
    <mergeCell ref="G113:H113"/>
    <mergeCell ref="B125:H125"/>
    <mergeCell ref="B126:H126"/>
    <mergeCell ref="B127:H127"/>
    <mergeCell ref="B128:H128"/>
    <mergeCell ref="A129:H129"/>
    <mergeCell ref="B130:H130"/>
    <mergeCell ref="A120:H120"/>
    <mergeCell ref="B121:F121"/>
    <mergeCell ref="G121:H121"/>
    <mergeCell ref="A122:I122"/>
    <mergeCell ref="B123:H123"/>
    <mergeCell ref="B124:H124"/>
    <mergeCell ref="B140:H140"/>
    <mergeCell ref="B135:C135"/>
    <mergeCell ref="F135:G135"/>
    <mergeCell ref="A136:I136"/>
    <mergeCell ref="B137:H137"/>
    <mergeCell ref="B138:H138"/>
    <mergeCell ref="B139:H139"/>
    <mergeCell ref="A131:H131"/>
    <mergeCell ref="B132:F132"/>
    <mergeCell ref="G132:H132"/>
    <mergeCell ref="A133:I133"/>
    <mergeCell ref="A134:C134"/>
    <mergeCell ref="F134:G134"/>
  </mergeCells>
  <pageMargins left="0.6692913385826772" right="0.19685039370078741" top="0.78740157480314965" bottom="0.6692913385826772" header="0.11811023622047245" footer="0.11811023622047245"/>
  <pageSetup paperSize="9" scale="75" firstPageNumber="0" fitToHeight="0" orientation="portrait" r:id="rId1"/>
  <headerFooter alignWithMargins="0">
    <oddHeader>&amp;R&amp;G</oddHeader>
    <oddFooter>&amp;L&amp;G</oddFooter>
  </headerFooter>
  <rowBreaks count="1" manualBreakCount="1">
    <brk id="70" max="8" man="1"/>
  </row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141"/>
  <sheetViews>
    <sheetView view="pageBreakPreview" topLeftCell="D7" zoomScaleNormal="100" zoomScaleSheetLayoutView="100" workbookViewId="0">
      <selection activeCell="G95" sqref="G95"/>
    </sheetView>
  </sheetViews>
  <sheetFormatPr defaultRowHeight="15" x14ac:dyDescent="0.25"/>
  <cols>
    <col min="1" max="1" width="5.5703125" style="1" customWidth="1"/>
    <col min="2" max="3" width="19.42578125" style="1" customWidth="1"/>
    <col min="4" max="4" width="16.42578125" style="1" customWidth="1"/>
    <col min="5" max="5" width="12.42578125" style="1" customWidth="1"/>
    <col min="6" max="6" width="9.140625" style="1" customWidth="1"/>
    <col min="7" max="7" width="7.5703125" style="1" customWidth="1"/>
    <col min="8" max="8" width="12" style="1" customWidth="1"/>
    <col min="9" max="9" width="20.7109375" style="1" customWidth="1"/>
    <col min="10" max="10" width="2.5703125" style="1" customWidth="1"/>
    <col min="11" max="11" width="13" style="3" customWidth="1"/>
    <col min="12" max="12" width="12.5703125" style="3" customWidth="1"/>
    <col min="13" max="13" width="10.28515625" style="3" customWidth="1"/>
    <col min="14" max="16" width="8.7109375" style="3" customWidth="1"/>
    <col min="17" max="1025" width="8.7109375" style="1" customWidth="1"/>
    <col min="1026" max="16384" width="9.140625" style="1"/>
  </cols>
  <sheetData>
    <row r="1" spans="1:10" ht="15.75" x14ac:dyDescent="0.25">
      <c r="A1" s="302" t="s">
        <v>212</v>
      </c>
      <c r="B1" s="302"/>
      <c r="C1" s="302"/>
      <c r="D1" s="302"/>
      <c r="E1" s="302"/>
      <c r="F1" s="302"/>
      <c r="G1" s="302"/>
      <c r="H1" s="302"/>
      <c r="I1" s="302"/>
      <c r="J1" s="126"/>
    </row>
    <row r="2" spans="1:10" ht="15.75" x14ac:dyDescent="0.25">
      <c r="A2" s="302" t="s">
        <v>213</v>
      </c>
      <c r="B2" s="302"/>
      <c r="C2" s="302"/>
      <c r="D2" s="302"/>
      <c r="E2" s="302"/>
      <c r="F2" s="302"/>
      <c r="G2" s="302"/>
      <c r="H2" s="302"/>
      <c r="I2" s="302"/>
      <c r="J2" s="126"/>
    </row>
    <row r="3" spans="1:10" ht="15.75" x14ac:dyDescent="0.25">
      <c r="A3" s="302" t="s">
        <v>215</v>
      </c>
      <c r="B3" s="302"/>
      <c r="C3" s="302"/>
      <c r="D3" s="302"/>
      <c r="E3" s="302"/>
      <c r="F3" s="302"/>
      <c r="G3" s="302"/>
      <c r="H3" s="302"/>
      <c r="I3" s="302"/>
      <c r="J3" s="126"/>
    </row>
    <row r="4" spans="1:10" ht="15.75" x14ac:dyDescent="0.25">
      <c r="A4" s="302" t="s">
        <v>214</v>
      </c>
      <c r="B4" s="302"/>
      <c r="C4" s="302"/>
      <c r="D4" s="302"/>
      <c r="E4" s="302"/>
      <c r="F4" s="302"/>
      <c r="G4" s="302"/>
      <c r="H4" s="302"/>
      <c r="I4" s="302"/>
      <c r="J4" s="126"/>
    </row>
    <row r="5" spans="1:10" ht="15.75" x14ac:dyDescent="0.25">
      <c r="A5" s="396" t="s">
        <v>323</v>
      </c>
      <c r="B5" s="396"/>
      <c r="C5" s="396"/>
      <c r="D5" s="396"/>
      <c r="E5" s="396"/>
      <c r="F5" s="396"/>
      <c r="G5" s="396"/>
      <c r="H5" s="396"/>
      <c r="I5" s="396"/>
      <c r="J5" s="126"/>
    </row>
    <row r="6" spans="1:10" x14ac:dyDescent="0.25">
      <c r="A6" s="385"/>
      <c r="B6" s="385"/>
      <c r="C6" s="385"/>
      <c r="D6" s="385"/>
      <c r="E6" s="385"/>
      <c r="F6" s="385"/>
      <c r="G6" s="385"/>
      <c r="H6" s="385"/>
      <c r="I6" s="385"/>
      <c r="J6" s="139"/>
    </row>
    <row r="7" spans="1:10" ht="18.75" x14ac:dyDescent="0.25">
      <c r="A7" s="390" t="s">
        <v>0</v>
      </c>
      <c r="B7" s="390"/>
      <c r="C7" s="390"/>
      <c r="D7" s="390"/>
      <c r="E7" s="390"/>
      <c r="F7" s="390"/>
      <c r="G7" s="390"/>
      <c r="H7" s="390"/>
      <c r="I7" s="390"/>
      <c r="J7" s="140"/>
    </row>
    <row r="8" spans="1:10" x14ac:dyDescent="0.25">
      <c r="A8" s="385"/>
      <c r="B8" s="385"/>
      <c r="C8" s="385"/>
      <c r="D8" s="385"/>
      <c r="E8" s="385"/>
      <c r="F8" s="385"/>
      <c r="G8" s="385"/>
      <c r="H8" s="385"/>
      <c r="I8" s="385"/>
      <c r="J8" s="139"/>
    </row>
    <row r="9" spans="1:10" x14ac:dyDescent="0.25">
      <c r="A9" s="391" t="s">
        <v>264</v>
      </c>
      <c r="B9" s="391"/>
      <c r="C9" s="391"/>
      <c r="D9" s="391"/>
      <c r="E9" s="391"/>
      <c r="F9" s="391"/>
      <c r="G9" s="391"/>
      <c r="H9" s="391"/>
      <c r="I9" s="391"/>
      <c r="J9" s="37"/>
    </row>
    <row r="10" spans="1:10" ht="21.75" customHeight="1" thickBot="1" x14ac:dyDescent="0.3">
      <c r="A10" s="392" t="s">
        <v>0</v>
      </c>
      <c r="B10" s="392"/>
      <c r="C10" s="392"/>
      <c r="D10" s="392"/>
      <c r="E10" s="392"/>
      <c r="F10" s="392"/>
      <c r="G10" s="392"/>
      <c r="H10" s="392"/>
      <c r="I10" s="392"/>
      <c r="J10" s="44"/>
    </row>
    <row r="11" spans="1:10" ht="13.5" customHeight="1" x14ac:dyDescent="0.25">
      <c r="A11" s="393" t="s">
        <v>1</v>
      </c>
      <c r="B11" s="393"/>
      <c r="C11" s="393"/>
      <c r="D11" s="393"/>
      <c r="E11" s="393"/>
      <c r="F11" s="393"/>
      <c r="G11" s="393"/>
      <c r="H11" s="393"/>
      <c r="I11" s="393"/>
      <c r="J11" s="45"/>
    </row>
    <row r="12" spans="1:10" ht="13.5" customHeight="1" x14ac:dyDescent="0.25">
      <c r="A12" s="137" t="s">
        <v>2</v>
      </c>
      <c r="B12" s="349" t="s">
        <v>3</v>
      </c>
      <c r="C12" s="349"/>
      <c r="D12" s="349"/>
      <c r="E12" s="394">
        <f>MARCEN!E12</f>
        <v>45065</v>
      </c>
      <c r="F12" s="395"/>
      <c r="G12" s="395"/>
      <c r="H12" s="395"/>
      <c r="I12" s="395"/>
      <c r="J12" s="46"/>
    </row>
    <row r="13" spans="1:10" ht="13.5" customHeight="1" x14ac:dyDescent="0.25">
      <c r="A13" s="137" t="s">
        <v>4</v>
      </c>
      <c r="B13" s="387" t="s">
        <v>5</v>
      </c>
      <c r="C13" s="387"/>
      <c r="D13" s="387"/>
      <c r="E13" s="397" t="str">
        <f>MARCEN!E13</f>
        <v>Picos/PI</v>
      </c>
      <c r="F13" s="398"/>
      <c r="G13" s="398"/>
      <c r="H13" s="398"/>
      <c r="I13" s="398"/>
      <c r="J13" s="47"/>
    </row>
    <row r="14" spans="1:10" ht="13.5" customHeight="1" x14ac:dyDescent="0.25">
      <c r="A14" s="137" t="s">
        <v>6</v>
      </c>
      <c r="B14" s="387" t="s">
        <v>7</v>
      </c>
      <c r="C14" s="387"/>
      <c r="D14" s="387"/>
      <c r="E14" s="397" t="str">
        <f>MARCEN!E14</f>
        <v>PI000066/2023</v>
      </c>
      <c r="F14" s="398"/>
      <c r="G14" s="398"/>
      <c r="H14" s="398"/>
      <c r="I14" s="398"/>
      <c r="J14" s="48"/>
    </row>
    <row r="15" spans="1:10" ht="13.5" customHeight="1" x14ac:dyDescent="0.25">
      <c r="A15" s="137" t="s">
        <v>8</v>
      </c>
      <c r="B15" s="349" t="s">
        <v>9</v>
      </c>
      <c r="C15" s="349"/>
      <c r="D15" s="349"/>
      <c r="E15" s="342" t="s">
        <v>194</v>
      </c>
      <c r="F15" s="342"/>
      <c r="G15" s="342"/>
      <c r="H15" s="342"/>
      <c r="I15" s="342"/>
      <c r="J15" s="147"/>
    </row>
    <row r="16" spans="1:10" x14ac:dyDescent="0.25">
      <c r="A16" s="385"/>
      <c r="B16" s="385"/>
      <c r="C16" s="385"/>
      <c r="D16" s="385"/>
      <c r="E16" s="385"/>
      <c r="F16" s="385"/>
      <c r="G16" s="385"/>
      <c r="H16" s="385"/>
      <c r="I16" s="385"/>
      <c r="J16" s="139"/>
    </row>
    <row r="17" spans="1:16" ht="26.25" customHeight="1" x14ac:dyDescent="0.25">
      <c r="A17" s="335" t="s">
        <v>10</v>
      </c>
      <c r="B17" s="335"/>
      <c r="C17" s="335"/>
      <c r="D17" s="335"/>
      <c r="E17" s="335"/>
      <c r="F17" s="335" t="s">
        <v>11</v>
      </c>
      <c r="G17" s="335"/>
      <c r="H17" s="356" t="s">
        <v>207</v>
      </c>
      <c r="I17" s="356"/>
      <c r="J17" s="49"/>
      <c r="O17" s="30"/>
    </row>
    <row r="18" spans="1:16" x14ac:dyDescent="0.25">
      <c r="A18" s="342" t="str">
        <f>A9</f>
        <v>AGENTE DE PORTARIA</v>
      </c>
      <c r="B18" s="342"/>
      <c r="C18" s="342"/>
      <c r="D18" s="342"/>
      <c r="E18" s="342"/>
      <c r="F18" s="342" t="s">
        <v>257</v>
      </c>
      <c r="G18" s="342"/>
      <c r="H18" s="386">
        <v>2</v>
      </c>
      <c r="I18" s="386"/>
      <c r="J18" s="50"/>
    </row>
    <row r="19" spans="1:16" x14ac:dyDescent="0.25">
      <c r="A19" s="356" t="s">
        <v>124</v>
      </c>
      <c r="B19" s="356"/>
      <c r="C19" s="356"/>
      <c r="D19" s="356"/>
      <c r="E19" s="356"/>
      <c r="F19" s="356"/>
      <c r="G19" s="356"/>
      <c r="H19" s="356"/>
      <c r="I19" s="356"/>
      <c r="J19" s="49"/>
    </row>
    <row r="20" spans="1:16" x14ac:dyDescent="0.25">
      <c r="A20" s="137">
        <v>1</v>
      </c>
      <c r="B20" s="349" t="s">
        <v>12</v>
      </c>
      <c r="C20" s="349"/>
      <c r="D20" s="349"/>
      <c r="E20" s="349"/>
      <c r="F20" s="349"/>
      <c r="G20" s="349"/>
      <c r="H20" s="379" t="s">
        <v>251</v>
      </c>
      <c r="I20" s="379"/>
      <c r="J20" s="147"/>
    </row>
    <row r="21" spans="1:16" x14ac:dyDescent="0.25">
      <c r="A21" s="137">
        <v>2</v>
      </c>
      <c r="B21" s="339" t="s">
        <v>216</v>
      </c>
      <c r="C21" s="340"/>
      <c r="D21" s="340"/>
      <c r="E21" s="340"/>
      <c r="F21" s="340"/>
      <c r="G21" s="380"/>
      <c r="H21" s="381" t="s">
        <v>265</v>
      </c>
      <c r="I21" s="382"/>
      <c r="J21" s="147"/>
    </row>
    <row r="22" spans="1:16" s="21" customFormat="1" ht="12.75" x14ac:dyDescent="0.2">
      <c r="A22" s="204">
        <v>3</v>
      </c>
      <c r="B22" s="383" t="s">
        <v>13</v>
      </c>
      <c r="C22" s="383"/>
      <c r="D22" s="383"/>
      <c r="E22" s="383"/>
      <c r="F22" s="383"/>
      <c r="G22" s="383"/>
      <c r="H22" s="384">
        <f>1380.07*107.43%</f>
        <v>1482.609201</v>
      </c>
      <c r="I22" s="384"/>
      <c r="J22" s="51"/>
    </row>
    <row r="23" spans="1:16" x14ac:dyDescent="0.25">
      <c r="A23" s="137">
        <v>4</v>
      </c>
      <c r="B23" s="349" t="s">
        <v>14</v>
      </c>
      <c r="C23" s="349"/>
      <c r="D23" s="349"/>
      <c r="E23" s="349"/>
      <c r="F23" s="349"/>
      <c r="G23" s="349"/>
      <c r="H23" s="374" t="str">
        <f>A9</f>
        <v>AGENTE DE PORTARIA</v>
      </c>
      <c r="I23" s="374"/>
      <c r="J23" s="52"/>
      <c r="N23" s="4"/>
    </row>
    <row r="24" spans="1:16" x14ac:dyDescent="0.25">
      <c r="A24" s="137">
        <v>5</v>
      </c>
      <c r="B24" s="375" t="s">
        <v>15</v>
      </c>
      <c r="C24" s="375"/>
      <c r="D24" s="375"/>
      <c r="E24" s="375"/>
      <c r="F24" s="375"/>
      <c r="G24" s="375"/>
      <c r="H24" s="376">
        <v>44927</v>
      </c>
      <c r="I24" s="377"/>
      <c r="J24" s="53"/>
    </row>
    <row r="25" spans="1:16" x14ac:dyDescent="0.25">
      <c r="A25" s="378"/>
      <c r="B25" s="378"/>
      <c r="C25" s="378"/>
      <c r="D25" s="378"/>
      <c r="E25" s="378"/>
      <c r="F25" s="378"/>
      <c r="G25" s="378"/>
      <c r="H25" s="378"/>
      <c r="I25" s="378"/>
      <c r="J25" s="147"/>
    </row>
    <row r="26" spans="1:16" ht="13.5" customHeight="1" x14ac:dyDescent="0.25">
      <c r="A26" s="347" t="s">
        <v>16</v>
      </c>
      <c r="B26" s="347"/>
      <c r="C26" s="347"/>
      <c r="D26" s="347"/>
      <c r="E26" s="347"/>
      <c r="F26" s="347"/>
      <c r="G26" s="347"/>
      <c r="H26" s="347"/>
      <c r="I26" s="347"/>
      <c r="J26" s="54"/>
    </row>
    <row r="27" spans="1:16" ht="13.5" customHeight="1" x14ac:dyDescent="0.25">
      <c r="A27" s="142">
        <v>1</v>
      </c>
      <c r="B27" s="335" t="s">
        <v>17</v>
      </c>
      <c r="C27" s="335"/>
      <c r="D27" s="335"/>
      <c r="E27" s="335"/>
      <c r="F27" s="335"/>
      <c r="G27" s="335" t="s">
        <v>18</v>
      </c>
      <c r="H27" s="335"/>
      <c r="I27" s="142" t="s">
        <v>19</v>
      </c>
      <c r="J27" s="55"/>
    </row>
    <row r="28" spans="1:16" s="223" customFormat="1" ht="13.5" customHeight="1" x14ac:dyDescent="0.25">
      <c r="A28" s="219" t="s">
        <v>2</v>
      </c>
      <c r="B28" s="372" t="s">
        <v>20</v>
      </c>
      <c r="C28" s="372"/>
      <c r="D28" s="372"/>
      <c r="E28" s="372"/>
      <c r="F28" s="372"/>
      <c r="G28" s="373">
        <v>1</v>
      </c>
      <c r="H28" s="373"/>
      <c r="I28" s="220">
        <f>H22</f>
        <v>1482.609201</v>
      </c>
      <c r="J28" s="221"/>
      <c r="K28" s="222"/>
      <c r="L28" s="222"/>
      <c r="M28" s="222"/>
      <c r="N28" s="222"/>
      <c r="O28" s="222"/>
      <c r="P28" s="222"/>
    </row>
    <row r="29" spans="1:16" ht="13.5" customHeight="1" x14ac:dyDescent="0.25">
      <c r="A29" s="137" t="s">
        <v>4</v>
      </c>
      <c r="B29" s="357" t="s">
        <v>21</v>
      </c>
      <c r="C29" s="357"/>
      <c r="D29" s="357"/>
      <c r="E29" s="357"/>
      <c r="F29" s="357"/>
      <c r="G29" s="370">
        <v>0</v>
      </c>
      <c r="H29" s="370"/>
      <c r="I29" s="58">
        <f>(I28*G29)</f>
        <v>0</v>
      </c>
      <c r="J29" s="59"/>
    </row>
    <row r="30" spans="1:16" ht="13.5" customHeight="1" x14ac:dyDescent="0.25">
      <c r="A30" s="137" t="s">
        <v>6</v>
      </c>
      <c r="B30" s="357" t="s">
        <v>22</v>
      </c>
      <c r="C30" s="357"/>
      <c r="D30" s="357"/>
      <c r="E30" s="357"/>
      <c r="F30" s="357"/>
      <c r="G30" s="370">
        <v>0</v>
      </c>
      <c r="H30" s="370"/>
      <c r="I30" s="56">
        <f>(I28*G30)</f>
        <v>0</v>
      </c>
      <c r="J30" s="57"/>
    </row>
    <row r="31" spans="1:16" ht="13.5" customHeight="1" x14ac:dyDescent="0.25">
      <c r="A31" s="137" t="s">
        <v>8</v>
      </c>
      <c r="B31" s="357" t="s">
        <v>23</v>
      </c>
      <c r="C31" s="357"/>
      <c r="D31" s="357"/>
      <c r="E31" s="357"/>
      <c r="F31" s="357"/>
      <c r="G31" s="370">
        <v>0</v>
      </c>
      <c r="H31" s="370"/>
      <c r="I31" s="56">
        <v>0</v>
      </c>
      <c r="J31" s="57"/>
    </row>
    <row r="32" spans="1:16" ht="13.5" customHeight="1" x14ac:dyDescent="0.25">
      <c r="A32" s="137" t="s">
        <v>24</v>
      </c>
      <c r="B32" s="357" t="s">
        <v>25</v>
      </c>
      <c r="C32" s="357"/>
      <c r="D32" s="357"/>
      <c r="E32" s="357"/>
      <c r="F32" s="357"/>
      <c r="G32" s="370">
        <v>0</v>
      </c>
      <c r="H32" s="370"/>
      <c r="I32" s="56">
        <v>0</v>
      </c>
      <c r="J32" s="57"/>
    </row>
    <row r="33" spans="1:16" ht="13.5" customHeight="1" x14ac:dyDescent="0.25">
      <c r="A33" s="137" t="s">
        <v>26</v>
      </c>
      <c r="B33" s="357" t="s">
        <v>27</v>
      </c>
      <c r="C33" s="357"/>
      <c r="D33" s="357"/>
      <c r="E33" s="357"/>
      <c r="F33" s="357"/>
      <c r="G33" s="370">
        <v>0</v>
      </c>
      <c r="H33" s="370"/>
      <c r="I33" s="56">
        <v>0</v>
      </c>
      <c r="J33" s="57"/>
    </row>
    <row r="34" spans="1:16" ht="13.5" customHeight="1" x14ac:dyDescent="0.25">
      <c r="A34" s="137" t="s">
        <v>28</v>
      </c>
      <c r="B34" s="349" t="s">
        <v>29</v>
      </c>
      <c r="C34" s="349"/>
      <c r="D34" s="349"/>
      <c r="E34" s="349"/>
      <c r="F34" s="349"/>
      <c r="G34" s="370">
        <v>0</v>
      </c>
      <c r="H34" s="370"/>
      <c r="I34" s="56">
        <v>0</v>
      </c>
      <c r="J34" s="57"/>
    </row>
    <row r="35" spans="1:16" ht="13.5" customHeight="1" x14ac:dyDescent="0.25">
      <c r="A35" s="335" t="s">
        <v>30</v>
      </c>
      <c r="B35" s="335"/>
      <c r="C35" s="335"/>
      <c r="D35" s="335"/>
      <c r="E35" s="335"/>
      <c r="F35" s="335"/>
      <c r="G35" s="335"/>
      <c r="H35" s="335"/>
      <c r="I35" s="60">
        <f>SUM(I28:I34)</f>
        <v>1482.609201</v>
      </c>
      <c r="J35" s="61"/>
    </row>
    <row r="36" spans="1:16" x14ac:dyDescent="0.25">
      <c r="A36" s="371"/>
      <c r="B36" s="371"/>
      <c r="C36" s="371"/>
      <c r="D36" s="371"/>
      <c r="E36" s="371"/>
      <c r="F36" s="371"/>
      <c r="G36" s="371"/>
      <c r="H36" s="371"/>
      <c r="I36" s="371"/>
      <c r="J36" s="149"/>
    </row>
    <row r="37" spans="1:16" ht="13.5" customHeight="1" x14ac:dyDescent="0.25">
      <c r="A37" s="347" t="s">
        <v>127</v>
      </c>
      <c r="B37" s="347"/>
      <c r="C37" s="347"/>
      <c r="D37" s="347"/>
      <c r="E37" s="347"/>
      <c r="F37" s="347"/>
      <c r="G37" s="347"/>
      <c r="H37" s="347"/>
      <c r="I37" s="347"/>
      <c r="J37" s="54"/>
    </row>
    <row r="38" spans="1:16" ht="13.5" customHeight="1" x14ac:dyDescent="0.25">
      <c r="A38" s="142" t="s">
        <v>31</v>
      </c>
      <c r="B38" s="359" t="s">
        <v>32</v>
      </c>
      <c r="C38" s="359"/>
      <c r="D38" s="359"/>
      <c r="E38" s="359"/>
      <c r="F38" s="359"/>
      <c r="G38" s="359"/>
      <c r="H38" s="142" t="s">
        <v>18</v>
      </c>
      <c r="I38" s="142" t="s">
        <v>19</v>
      </c>
      <c r="J38" s="55"/>
    </row>
    <row r="39" spans="1:16" ht="13.5" customHeight="1" x14ac:dyDescent="0.25">
      <c r="A39" s="137" t="s">
        <v>2</v>
      </c>
      <c r="B39" s="358" t="s">
        <v>33</v>
      </c>
      <c r="C39" s="358"/>
      <c r="D39" s="358"/>
      <c r="E39" s="358"/>
      <c r="F39" s="358"/>
      <c r="G39" s="358"/>
      <c r="H39" s="148">
        <f>(1/12)*1</f>
        <v>8.3333333333333329E-2</v>
      </c>
      <c r="I39" s="56">
        <f>$I$35*H39</f>
        <v>123.55076674999999</v>
      </c>
      <c r="J39" s="57"/>
    </row>
    <row r="40" spans="1:16" ht="13.5" customHeight="1" x14ac:dyDescent="0.25">
      <c r="A40" s="137" t="s">
        <v>4</v>
      </c>
      <c r="B40" s="358" t="s">
        <v>34</v>
      </c>
      <c r="C40" s="358"/>
      <c r="D40" s="358"/>
      <c r="E40" s="358"/>
      <c r="F40" s="358"/>
      <c r="G40" s="358"/>
      <c r="H40" s="148">
        <f>((1+1/3)/12)*1</f>
        <v>0.1111111111111111</v>
      </c>
      <c r="I40" s="56">
        <f>$I$35*H40</f>
        <v>164.73435566666666</v>
      </c>
      <c r="J40" s="57"/>
    </row>
    <row r="41" spans="1:16" ht="13.5" customHeight="1" x14ac:dyDescent="0.25">
      <c r="A41" s="62"/>
      <c r="B41" s="335" t="s">
        <v>35</v>
      </c>
      <c r="C41" s="335"/>
      <c r="D41" s="335"/>
      <c r="E41" s="335"/>
      <c r="F41" s="335"/>
      <c r="G41" s="335"/>
      <c r="H41" s="63">
        <f>SUM(H39:H40)</f>
        <v>0.19444444444444442</v>
      </c>
      <c r="I41" s="64">
        <f>SUM(I39:I40)</f>
        <v>288.28512241666664</v>
      </c>
      <c r="J41" s="65"/>
      <c r="K41" s="31">
        <f>H52*H41</f>
        <v>6.9766666666666671E-2</v>
      </c>
    </row>
    <row r="42" spans="1:16" ht="9.75" customHeight="1" x14ac:dyDescent="0.25">
      <c r="A42" s="141"/>
      <c r="B42" s="141"/>
      <c r="C42" s="141"/>
      <c r="D42" s="141"/>
      <c r="E42" s="141"/>
      <c r="F42" s="141"/>
      <c r="G42" s="141"/>
      <c r="H42" s="141"/>
      <c r="I42" s="66"/>
      <c r="J42" s="66"/>
    </row>
    <row r="43" spans="1:16" ht="13.5" customHeight="1" x14ac:dyDescent="0.25">
      <c r="A43" s="142" t="s">
        <v>36</v>
      </c>
      <c r="B43" s="359" t="s">
        <v>37</v>
      </c>
      <c r="C43" s="359"/>
      <c r="D43" s="359"/>
      <c r="E43" s="359"/>
      <c r="F43" s="359"/>
      <c r="G43" s="359"/>
      <c r="H43" s="142" t="s">
        <v>18</v>
      </c>
      <c r="I43" s="142" t="s">
        <v>19</v>
      </c>
      <c r="J43" s="55"/>
    </row>
    <row r="44" spans="1:16" ht="13.5" customHeight="1" x14ac:dyDescent="0.25">
      <c r="A44" s="137" t="s">
        <v>2</v>
      </c>
      <c r="B44" s="358" t="s">
        <v>38</v>
      </c>
      <c r="C44" s="358"/>
      <c r="D44" s="358"/>
      <c r="E44" s="358"/>
      <c r="F44" s="358"/>
      <c r="G44" s="358"/>
      <c r="H44" s="128">
        <v>0.2</v>
      </c>
      <c r="I44" s="56">
        <f>SUM($I$35,$I$41)*H44</f>
        <v>354.17886468333336</v>
      </c>
      <c r="J44" s="57"/>
    </row>
    <row r="45" spans="1:16" ht="13.5" customHeight="1" x14ac:dyDescent="0.25">
      <c r="A45" s="137" t="s">
        <v>4</v>
      </c>
      <c r="B45" s="358" t="s">
        <v>39</v>
      </c>
      <c r="C45" s="358"/>
      <c r="D45" s="358"/>
      <c r="E45" s="358"/>
      <c r="F45" s="358"/>
      <c r="G45" s="358"/>
      <c r="H45" s="67">
        <v>2.5000000000000001E-2</v>
      </c>
      <c r="I45" s="56">
        <f t="shared" ref="I45:I51" si="0">SUM($I$35,$I$41)*H45</f>
        <v>44.27235808541667</v>
      </c>
      <c r="J45" s="57"/>
    </row>
    <row r="46" spans="1:16" s="83" customFormat="1" ht="13.5" customHeight="1" x14ac:dyDescent="0.25">
      <c r="A46" s="205" t="s">
        <v>6</v>
      </c>
      <c r="B46" s="364" t="s">
        <v>40</v>
      </c>
      <c r="C46" s="364"/>
      <c r="D46" s="364"/>
      <c r="E46" s="364"/>
      <c r="F46" s="364"/>
      <c r="G46" s="364"/>
      <c r="H46" s="207">
        <v>2.0799999999999999E-2</v>
      </c>
      <c r="I46" s="81">
        <f t="shared" si="0"/>
        <v>36.834601927066664</v>
      </c>
      <c r="J46" s="82"/>
      <c r="K46" s="21"/>
      <c r="L46" s="21"/>
      <c r="M46" s="21"/>
      <c r="N46" s="21"/>
      <c r="O46" s="21"/>
      <c r="P46" s="21"/>
    </row>
    <row r="47" spans="1:16" ht="13.5" customHeight="1" x14ac:dyDescent="0.25">
      <c r="A47" s="137" t="s">
        <v>8</v>
      </c>
      <c r="B47" s="358" t="s">
        <v>41</v>
      </c>
      <c r="C47" s="358"/>
      <c r="D47" s="358"/>
      <c r="E47" s="358"/>
      <c r="F47" s="358"/>
      <c r="G47" s="358"/>
      <c r="H47" s="68">
        <v>1.4999999999999999E-2</v>
      </c>
      <c r="I47" s="56">
        <f t="shared" si="0"/>
        <v>26.563414851249998</v>
      </c>
      <c r="J47" s="57"/>
    </row>
    <row r="48" spans="1:16" ht="13.5" customHeight="1" x14ac:dyDescent="0.25">
      <c r="A48" s="137" t="s">
        <v>24</v>
      </c>
      <c r="B48" s="358" t="s">
        <v>42</v>
      </c>
      <c r="C48" s="358"/>
      <c r="D48" s="358"/>
      <c r="E48" s="358"/>
      <c r="F48" s="358"/>
      <c r="G48" s="358"/>
      <c r="H48" s="68">
        <v>0.01</v>
      </c>
      <c r="I48" s="56">
        <f t="shared" si="0"/>
        <v>17.708943234166664</v>
      </c>
      <c r="J48" s="57"/>
    </row>
    <row r="49" spans="1:16" ht="13.5" customHeight="1" x14ac:dyDescent="0.25">
      <c r="A49" s="137" t="s">
        <v>26</v>
      </c>
      <c r="B49" s="358" t="s">
        <v>43</v>
      </c>
      <c r="C49" s="358"/>
      <c r="D49" s="358"/>
      <c r="E49" s="358"/>
      <c r="F49" s="358"/>
      <c r="G49" s="358"/>
      <c r="H49" s="68">
        <v>6.0000000000000001E-3</v>
      </c>
      <c r="I49" s="56">
        <f t="shared" si="0"/>
        <v>10.6253659405</v>
      </c>
      <c r="J49" s="57"/>
    </row>
    <row r="50" spans="1:16" ht="13.5" customHeight="1" x14ac:dyDescent="0.25">
      <c r="A50" s="137" t="s">
        <v>28</v>
      </c>
      <c r="B50" s="358" t="s">
        <v>44</v>
      </c>
      <c r="C50" s="358"/>
      <c r="D50" s="358"/>
      <c r="E50" s="358"/>
      <c r="F50" s="358"/>
      <c r="G50" s="358"/>
      <c r="H50" s="68">
        <v>2E-3</v>
      </c>
      <c r="I50" s="56">
        <f t="shared" si="0"/>
        <v>3.5417886468333331</v>
      </c>
      <c r="J50" s="57"/>
    </row>
    <row r="51" spans="1:16" ht="13.5" customHeight="1" x14ac:dyDescent="0.25">
      <c r="A51" s="137" t="s">
        <v>45</v>
      </c>
      <c r="B51" s="358" t="s">
        <v>46</v>
      </c>
      <c r="C51" s="358"/>
      <c r="D51" s="358"/>
      <c r="E51" s="358"/>
      <c r="F51" s="358"/>
      <c r="G51" s="358"/>
      <c r="H51" s="68">
        <v>0.08</v>
      </c>
      <c r="I51" s="56">
        <f t="shared" si="0"/>
        <v>141.67154587333332</v>
      </c>
      <c r="J51" s="57"/>
    </row>
    <row r="52" spans="1:16" ht="13.5" customHeight="1" x14ac:dyDescent="0.25">
      <c r="A52" s="336" t="s">
        <v>47</v>
      </c>
      <c r="B52" s="337"/>
      <c r="C52" s="337"/>
      <c r="D52" s="337"/>
      <c r="E52" s="337"/>
      <c r="F52" s="337"/>
      <c r="G52" s="338"/>
      <c r="H52" s="63">
        <f>SUM(H44:H51)</f>
        <v>0.35880000000000006</v>
      </c>
      <c r="I52" s="69">
        <f>SUM(I44:I51)</f>
        <v>635.39688324190001</v>
      </c>
      <c r="J52" s="70"/>
    </row>
    <row r="53" spans="1:16" ht="10.5" customHeight="1" x14ac:dyDescent="0.25">
      <c r="A53" s="141"/>
      <c r="B53" s="141"/>
      <c r="C53" s="141"/>
      <c r="D53" s="141"/>
      <c r="E53" s="141"/>
      <c r="F53" s="141"/>
      <c r="G53" s="141"/>
      <c r="H53" s="141"/>
      <c r="I53" s="71"/>
      <c r="J53" s="71"/>
    </row>
    <row r="54" spans="1:16" ht="13.5" customHeight="1" x14ac:dyDescent="0.25">
      <c r="A54" s="142" t="s">
        <v>48</v>
      </c>
      <c r="B54" s="359" t="s">
        <v>49</v>
      </c>
      <c r="C54" s="359"/>
      <c r="D54" s="359"/>
      <c r="E54" s="359"/>
      <c r="F54" s="359"/>
      <c r="G54" s="359"/>
      <c r="H54" s="142" t="s">
        <v>50</v>
      </c>
      <c r="I54" s="142" t="s">
        <v>19</v>
      </c>
      <c r="J54" s="55"/>
    </row>
    <row r="55" spans="1:16" s="223" customFormat="1" ht="13.5" customHeight="1" x14ac:dyDescent="0.25">
      <c r="A55" s="219" t="s">
        <v>2</v>
      </c>
      <c r="B55" s="367" t="s">
        <v>324</v>
      </c>
      <c r="C55" s="367"/>
      <c r="D55" s="367"/>
      <c r="E55" s="367"/>
      <c r="F55" s="367"/>
      <c r="G55" s="367"/>
      <c r="H55" s="225">
        <v>5</v>
      </c>
      <c r="I55" s="226">
        <f>(H55*2*22)-(I28*6%)</f>
        <v>131.04344794000002</v>
      </c>
      <c r="J55" s="227"/>
      <c r="K55" s="224"/>
      <c r="L55" s="222"/>
      <c r="M55" s="222"/>
      <c r="N55" s="222"/>
      <c r="O55" s="222"/>
      <c r="P55" s="222"/>
    </row>
    <row r="56" spans="1:16" s="223" customFormat="1" ht="13.5" customHeight="1" x14ac:dyDescent="0.25">
      <c r="A56" s="219" t="s">
        <v>4</v>
      </c>
      <c r="B56" s="367" t="s">
        <v>322</v>
      </c>
      <c r="C56" s="367"/>
      <c r="D56" s="367"/>
      <c r="E56" s="367"/>
      <c r="F56" s="367"/>
      <c r="G56" s="367"/>
      <c r="H56" s="225">
        <v>412.05</v>
      </c>
      <c r="I56" s="220">
        <f>H56</f>
        <v>412.05</v>
      </c>
      <c r="J56" s="221"/>
      <c r="K56" s="222"/>
      <c r="L56" s="222"/>
      <c r="M56" s="222"/>
      <c r="N56" s="222"/>
      <c r="O56" s="222"/>
      <c r="P56" s="222"/>
    </row>
    <row r="57" spans="1:16" ht="13.5" customHeight="1" x14ac:dyDescent="0.25">
      <c r="A57" s="137" t="s">
        <v>6</v>
      </c>
      <c r="B57" s="369" t="s">
        <v>310</v>
      </c>
      <c r="C57" s="369"/>
      <c r="D57" s="369"/>
      <c r="E57" s="369"/>
      <c r="F57" s="369"/>
      <c r="G57" s="369"/>
      <c r="H57" s="73">
        <v>141.68</v>
      </c>
      <c r="I57" s="177">
        <f>(H57*40%)</f>
        <v>56.672000000000004</v>
      </c>
      <c r="J57" s="57"/>
      <c r="K57" s="166"/>
    </row>
    <row r="58" spans="1:16" ht="13.5" customHeight="1" x14ac:dyDescent="0.25">
      <c r="A58" s="136" t="s">
        <v>8</v>
      </c>
      <c r="B58" s="368" t="s">
        <v>252</v>
      </c>
      <c r="C58" s="368"/>
      <c r="D58" s="368"/>
      <c r="E58" s="368"/>
      <c r="F58" s="368"/>
      <c r="G58" s="368"/>
      <c r="H58" s="73">
        <f>I35</f>
        <v>1482.609201</v>
      </c>
      <c r="I58" s="74">
        <f>(H58*26)*0.002/12</f>
        <v>6.4246398710000001</v>
      </c>
      <c r="J58" s="72"/>
    </row>
    <row r="59" spans="1:16" ht="13.5" customHeight="1" x14ac:dyDescent="0.25">
      <c r="A59" s="137" t="s">
        <v>24</v>
      </c>
      <c r="B59" s="358" t="s">
        <v>203</v>
      </c>
      <c r="C59" s="358"/>
      <c r="D59" s="358"/>
      <c r="E59" s="358"/>
      <c r="F59" s="358"/>
      <c r="G59" s="358"/>
      <c r="H59" s="73">
        <v>0</v>
      </c>
      <c r="I59" s="74">
        <f>(H59*6*0.02)/12</f>
        <v>0</v>
      </c>
      <c r="J59" s="72"/>
    </row>
    <row r="60" spans="1:16" ht="13.5" customHeight="1" x14ac:dyDescent="0.25">
      <c r="A60" s="137" t="s">
        <v>26</v>
      </c>
      <c r="B60" s="369" t="s">
        <v>202</v>
      </c>
      <c r="C60" s="369"/>
      <c r="D60" s="369"/>
      <c r="E60" s="369"/>
      <c r="F60" s="369"/>
      <c r="G60" s="369"/>
      <c r="H60" s="75">
        <v>0</v>
      </c>
      <c r="I60" s="76">
        <f>H60</f>
        <v>0</v>
      </c>
      <c r="J60" s="77"/>
    </row>
    <row r="61" spans="1:16" ht="13.5" customHeight="1" x14ac:dyDescent="0.25">
      <c r="A61" s="137" t="s">
        <v>28</v>
      </c>
      <c r="B61" s="358" t="s">
        <v>51</v>
      </c>
      <c r="C61" s="358"/>
      <c r="D61" s="358"/>
      <c r="E61" s="358"/>
      <c r="F61" s="358"/>
      <c r="G61" s="358"/>
      <c r="H61" s="73">
        <v>0</v>
      </c>
      <c r="I61" s="56">
        <f>H61</f>
        <v>0</v>
      </c>
      <c r="J61" s="57"/>
    </row>
    <row r="62" spans="1:16" s="78" customFormat="1" ht="13.5" customHeight="1" x14ac:dyDescent="0.25">
      <c r="A62" s="146" t="s">
        <v>45</v>
      </c>
      <c r="B62" s="369" t="s">
        <v>209</v>
      </c>
      <c r="C62" s="369"/>
      <c r="D62" s="369"/>
      <c r="E62" s="369"/>
      <c r="F62" s="369"/>
      <c r="G62" s="369"/>
      <c r="H62" s="75">
        <v>0</v>
      </c>
      <c r="I62" s="76">
        <f>H62</f>
        <v>0</v>
      </c>
      <c r="J62" s="77"/>
      <c r="K62" s="32"/>
      <c r="L62" s="32"/>
      <c r="M62" s="32"/>
      <c r="N62" s="32"/>
      <c r="O62" s="32"/>
      <c r="P62" s="32"/>
    </row>
    <row r="63" spans="1:16" ht="13.5" customHeight="1" x14ac:dyDescent="0.25">
      <c r="A63" s="336" t="s">
        <v>52</v>
      </c>
      <c r="B63" s="337"/>
      <c r="C63" s="337"/>
      <c r="D63" s="337"/>
      <c r="E63" s="337"/>
      <c r="F63" s="337"/>
      <c r="G63" s="337"/>
      <c r="H63" s="338"/>
      <c r="I63" s="69">
        <f>TRUNC(SUM(I55:I62),2)</f>
        <v>606.19000000000005</v>
      </c>
      <c r="J63" s="70"/>
    </row>
    <row r="64" spans="1:16" ht="12" customHeight="1" x14ac:dyDescent="0.25">
      <c r="A64" s="141"/>
      <c r="B64" s="141"/>
      <c r="C64" s="141"/>
      <c r="D64" s="141"/>
      <c r="E64" s="141"/>
      <c r="F64" s="141"/>
      <c r="G64" s="141"/>
      <c r="H64" s="141"/>
      <c r="I64" s="71"/>
      <c r="J64" s="71"/>
    </row>
    <row r="65" spans="1:16" ht="13.5" customHeight="1" x14ac:dyDescent="0.25">
      <c r="A65" s="335" t="s">
        <v>53</v>
      </c>
      <c r="B65" s="335"/>
      <c r="C65" s="335"/>
      <c r="D65" s="335"/>
      <c r="E65" s="335"/>
      <c r="F65" s="335"/>
      <c r="G65" s="335"/>
      <c r="H65" s="335"/>
      <c r="I65" s="335"/>
      <c r="J65" s="55"/>
    </row>
    <row r="66" spans="1:16" ht="13.5" customHeight="1" x14ac:dyDescent="0.25">
      <c r="A66" s="79" t="s">
        <v>31</v>
      </c>
      <c r="B66" s="368" t="s">
        <v>54</v>
      </c>
      <c r="C66" s="368"/>
      <c r="D66" s="368"/>
      <c r="E66" s="368"/>
      <c r="F66" s="368"/>
      <c r="G66" s="368"/>
      <c r="H66" s="368"/>
      <c r="I66" s="56">
        <f>I41</f>
        <v>288.28512241666664</v>
      </c>
      <c r="J66" s="57"/>
    </row>
    <row r="67" spans="1:16" ht="13.5" customHeight="1" x14ac:dyDescent="0.25">
      <c r="A67" s="79" t="s">
        <v>36</v>
      </c>
      <c r="B67" s="358" t="s">
        <v>55</v>
      </c>
      <c r="C67" s="358"/>
      <c r="D67" s="358"/>
      <c r="E67" s="358"/>
      <c r="F67" s="358"/>
      <c r="G67" s="358"/>
      <c r="H67" s="358"/>
      <c r="I67" s="56">
        <f>I52</f>
        <v>635.39688324190001</v>
      </c>
      <c r="J67" s="57"/>
    </row>
    <row r="68" spans="1:16" ht="13.5" customHeight="1" x14ac:dyDescent="0.25">
      <c r="A68" s="79" t="s">
        <v>48</v>
      </c>
      <c r="B68" s="358" t="s">
        <v>56</v>
      </c>
      <c r="C68" s="358"/>
      <c r="D68" s="358"/>
      <c r="E68" s="358"/>
      <c r="F68" s="358"/>
      <c r="G68" s="358"/>
      <c r="H68" s="358"/>
      <c r="I68" s="56">
        <f>I63</f>
        <v>606.19000000000005</v>
      </c>
      <c r="J68" s="57"/>
    </row>
    <row r="69" spans="1:16" ht="13.5" customHeight="1" x14ac:dyDescent="0.25">
      <c r="A69" s="335" t="s">
        <v>57</v>
      </c>
      <c r="B69" s="335"/>
      <c r="C69" s="335"/>
      <c r="D69" s="335"/>
      <c r="E69" s="335"/>
      <c r="F69" s="335"/>
      <c r="G69" s="335"/>
      <c r="H69" s="335"/>
      <c r="I69" s="60">
        <f>SUM(I66:I68)</f>
        <v>1529.8720056585666</v>
      </c>
      <c r="J69" s="61"/>
    </row>
    <row r="70" spans="1:16" x14ac:dyDescent="0.25">
      <c r="A70" s="141"/>
      <c r="B70" s="141"/>
      <c r="C70" s="141"/>
      <c r="D70" s="141"/>
      <c r="E70" s="141"/>
      <c r="F70" s="141"/>
      <c r="G70" s="141"/>
      <c r="H70" s="141"/>
      <c r="I70" s="71"/>
      <c r="J70" s="71"/>
    </row>
    <row r="71" spans="1:16" ht="13.5" customHeight="1" x14ac:dyDescent="0.25">
      <c r="A71" s="347" t="s">
        <v>125</v>
      </c>
      <c r="B71" s="347"/>
      <c r="C71" s="347"/>
      <c r="D71" s="347"/>
      <c r="E71" s="347"/>
      <c r="F71" s="347"/>
      <c r="G71" s="347"/>
      <c r="H71" s="347"/>
      <c r="I71" s="347"/>
      <c r="J71" s="54"/>
    </row>
    <row r="72" spans="1:16" ht="13.5" customHeight="1" x14ac:dyDescent="0.25">
      <c r="A72" s="203">
        <v>3</v>
      </c>
      <c r="B72" s="366" t="s">
        <v>58</v>
      </c>
      <c r="C72" s="366"/>
      <c r="D72" s="366"/>
      <c r="E72" s="366"/>
      <c r="F72" s="366"/>
      <c r="G72" s="366"/>
      <c r="H72" s="203" t="s">
        <v>18</v>
      </c>
      <c r="I72" s="203" t="s">
        <v>19</v>
      </c>
      <c r="J72" s="55"/>
    </row>
    <row r="73" spans="1:16" s="249" customFormat="1" ht="13.5" customHeight="1" x14ac:dyDescent="0.25">
      <c r="A73" s="219" t="s">
        <v>2</v>
      </c>
      <c r="B73" s="367" t="s">
        <v>59</v>
      </c>
      <c r="C73" s="367"/>
      <c r="D73" s="367"/>
      <c r="E73" s="367"/>
      <c r="F73" s="367"/>
      <c r="G73" s="367"/>
      <c r="H73" s="250">
        <f>0.05*(1/12)/30*3</f>
        <v>4.1666666666666664E-4</v>
      </c>
      <c r="I73" s="220">
        <f t="shared" ref="I73:I78" si="1">$I$35*H73</f>
        <v>0.61775383374999993</v>
      </c>
      <c r="J73" s="247"/>
      <c r="K73" s="248"/>
      <c r="L73" s="248"/>
      <c r="M73" s="248"/>
      <c r="N73" s="248"/>
      <c r="O73" s="248"/>
      <c r="P73" s="248"/>
    </row>
    <row r="74" spans="1:16" s="83" customFormat="1" ht="13.5" customHeight="1" x14ac:dyDescent="0.25">
      <c r="A74" s="201" t="s">
        <v>4</v>
      </c>
      <c r="B74" s="364" t="s">
        <v>60</v>
      </c>
      <c r="C74" s="364"/>
      <c r="D74" s="364"/>
      <c r="E74" s="364"/>
      <c r="F74" s="364"/>
      <c r="G74" s="364"/>
      <c r="H74" s="84">
        <f>H51*H73</f>
        <v>3.3333333333333335E-5</v>
      </c>
      <c r="I74" s="81">
        <f t="shared" si="1"/>
        <v>4.94203067E-2</v>
      </c>
      <c r="J74" s="82"/>
      <c r="K74" s="21"/>
      <c r="L74" s="21"/>
      <c r="M74" s="21"/>
      <c r="N74" s="21"/>
      <c r="O74" s="21"/>
      <c r="P74" s="21"/>
    </row>
    <row r="75" spans="1:16" s="83" customFormat="1" ht="13.5" customHeight="1" x14ac:dyDescent="0.25">
      <c r="A75" s="201" t="s">
        <v>6</v>
      </c>
      <c r="B75" s="364" t="s">
        <v>61</v>
      </c>
      <c r="C75" s="364"/>
      <c r="D75" s="364"/>
      <c r="E75" s="364"/>
      <c r="F75" s="364"/>
      <c r="G75" s="364"/>
      <c r="H75" s="84">
        <f>40%*H51*5%</f>
        <v>1.6000000000000001E-3</v>
      </c>
      <c r="I75" s="81">
        <f t="shared" si="1"/>
        <v>2.3721747216</v>
      </c>
      <c r="J75" s="82"/>
      <c r="K75" s="21"/>
      <c r="L75" s="21"/>
      <c r="M75" s="21"/>
      <c r="N75" s="21"/>
      <c r="O75" s="21"/>
      <c r="P75" s="21"/>
    </row>
    <row r="76" spans="1:16" s="249" customFormat="1" ht="13.5" customHeight="1" x14ac:dyDescent="0.25">
      <c r="A76" s="219" t="s">
        <v>8</v>
      </c>
      <c r="B76" s="367" t="s">
        <v>62</v>
      </c>
      <c r="C76" s="367"/>
      <c r="D76" s="367"/>
      <c r="E76" s="367"/>
      <c r="F76" s="367"/>
      <c r="G76" s="367"/>
      <c r="H76" s="246">
        <f>(1/30)*7/12*100%/30*3</f>
        <v>1.9444444444444444E-3</v>
      </c>
      <c r="I76" s="220">
        <f t="shared" si="1"/>
        <v>2.8828512241666666</v>
      </c>
      <c r="J76" s="247"/>
      <c r="K76" s="248"/>
      <c r="L76" s="248"/>
      <c r="M76" s="248"/>
      <c r="N76" s="248"/>
      <c r="O76" s="248"/>
      <c r="P76" s="248"/>
    </row>
    <row r="77" spans="1:16" s="83" customFormat="1" ht="13.5" customHeight="1" x14ac:dyDescent="0.25">
      <c r="A77" s="201" t="s">
        <v>24</v>
      </c>
      <c r="B77" s="364" t="s">
        <v>63</v>
      </c>
      <c r="C77" s="364"/>
      <c r="D77" s="364"/>
      <c r="E77" s="364"/>
      <c r="F77" s="364"/>
      <c r="G77" s="364"/>
      <c r="H77" s="85">
        <f>H52*H76</f>
        <v>6.9766666666666675E-4</v>
      </c>
      <c r="I77" s="81">
        <f t="shared" si="1"/>
        <v>1.0343670192310002</v>
      </c>
      <c r="J77" s="82"/>
      <c r="K77" s="21"/>
      <c r="L77" s="21"/>
      <c r="M77" s="21"/>
      <c r="N77" s="21"/>
      <c r="O77" s="21"/>
      <c r="P77" s="21"/>
    </row>
    <row r="78" spans="1:16" s="83" customFormat="1" ht="13.5" customHeight="1" x14ac:dyDescent="0.25">
      <c r="A78" s="201" t="s">
        <v>26</v>
      </c>
      <c r="B78" s="364" t="s">
        <v>64</v>
      </c>
      <c r="C78" s="364"/>
      <c r="D78" s="364"/>
      <c r="E78" s="364"/>
      <c r="F78" s="364"/>
      <c r="G78" s="364"/>
      <c r="H78" s="80">
        <f>40%*H51*95%</f>
        <v>3.04E-2</v>
      </c>
      <c r="I78" s="81">
        <f t="shared" si="1"/>
        <v>45.071319710399997</v>
      </c>
      <c r="J78" s="82"/>
      <c r="K78" s="129"/>
      <c r="L78" s="21"/>
      <c r="M78" s="21"/>
      <c r="N78" s="21"/>
      <c r="O78" s="21"/>
      <c r="P78" s="21"/>
    </row>
    <row r="79" spans="1:16" ht="13.5" customHeight="1" x14ac:dyDescent="0.25">
      <c r="A79" s="336" t="s">
        <v>65</v>
      </c>
      <c r="B79" s="337"/>
      <c r="C79" s="337"/>
      <c r="D79" s="337"/>
      <c r="E79" s="337"/>
      <c r="F79" s="337"/>
      <c r="G79" s="338"/>
      <c r="H79" s="63">
        <f>SUM(H73:H78)</f>
        <v>3.5092111111111109E-2</v>
      </c>
      <c r="I79" s="60">
        <f>SUM(I73:I78)</f>
        <v>52.027886815847666</v>
      </c>
      <c r="J79" s="61"/>
    </row>
    <row r="80" spans="1:16" x14ac:dyDescent="0.25">
      <c r="A80" s="141"/>
      <c r="B80" s="365"/>
      <c r="C80" s="365"/>
      <c r="D80" s="365"/>
      <c r="E80" s="365"/>
      <c r="F80" s="365"/>
      <c r="G80" s="365"/>
      <c r="H80" s="365"/>
      <c r="I80" s="144"/>
      <c r="J80" s="144"/>
    </row>
    <row r="81" spans="1:16" ht="13.5" customHeight="1" x14ac:dyDescent="0.25">
      <c r="A81" s="347" t="s">
        <v>126</v>
      </c>
      <c r="B81" s="347"/>
      <c r="C81" s="347"/>
      <c r="D81" s="347"/>
      <c r="E81" s="347"/>
      <c r="F81" s="347"/>
      <c r="G81" s="347"/>
      <c r="H81" s="347"/>
      <c r="I81" s="347"/>
      <c r="J81" s="54"/>
    </row>
    <row r="82" spans="1:16" ht="13.5" customHeight="1" x14ac:dyDescent="0.25">
      <c r="A82" s="142" t="s">
        <v>66</v>
      </c>
      <c r="B82" s="359" t="s">
        <v>67</v>
      </c>
      <c r="C82" s="359"/>
      <c r="D82" s="359"/>
      <c r="E82" s="359"/>
      <c r="F82" s="359"/>
      <c r="G82" s="359"/>
      <c r="H82" s="142" t="s">
        <v>18</v>
      </c>
      <c r="I82" s="142" t="s">
        <v>19</v>
      </c>
      <c r="J82" s="55"/>
    </row>
    <row r="83" spans="1:16" ht="13.5" customHeight="1" x14ac:dyDescent="0.25">
      <c r="A83" s="137" t="s">
        <v>2</v>
      </c>
      <c r="B83" s="334" t="s">
        <v>68</v>
      </c>
      <c r="C83" s="334"/>
      <c r="D83" s="334"/>
      <c r="E83" s="334"/>
      <c r="F83" s="334"/>
      <c r="G83" s="334"/>
      <c r="H83" s="86">
        <f>(( 1+1/3)/12)/12</f>
        <v>9.2592592592592587E-3</v>
      </c>
      <c r="I83" s="56">
        <f>SUM($I$35,$I$69,$I$79)*H83</f>
        <v>28.375084198837165</v>
      </c>
      <c r="J83" s="57"/>
    </row>
    <row r="84" spans="1:16" s="223" customFormat="1" ht="13.5" customHeight="1" x14ac:dyDescent="0.25">
      <c r="A84" s="219" t="s">
        <v>4</v>
      </c>
      <c r="B84" s="355" t="s">
        <v>69</v>
      </c>
      <c r="C84" s="355"/>
      <c r="D84" s="355"/>
      <c r="E84" s="355"/>
      <c r="F84" s="355"/>
      <c r="G84" s="355"/>
      <c r="H84" s="250">
        <v>0</v>
      </c>
      <c r="I84" s="220">
        <f>SUM($I$35,$I$69,$I$79)*H84</f>
        <v>0</v>
      </c>
      <c r="J84" s="221"/>
      <c r="K84" s="222"/>
      <c r="L84" s="222"/>
      <c r="M84" s="222"/>
      <c r="N84" s="222"/>
      <c r="O84" s="222"/>
      <c r="P84" s="222"/>
    </row>
    <row r="85" spans="1:16" s="223" customFormat="1" ht="13.5" customHeight="1" x14ac:dyDescent="0.25">
      <c r="A85" s="219" t="s">
        <v>6</v>
      </c>
      <c r="B85" s="355" t="s">
        <v>70</v>
      </c>
      <c r="C85" s="355"/>
      <c r="D85" s="355"/>
      <c r="E85" s="355"/>
      <c r="F85" s="355"/>
      <c r="G85" s="355"/>
      <c r="H85" s="250">
        <v>0</v>
      </c>
      <c r="I85" s="220">
        <f>SUM($I$35,$I$69,$I$79)*H85</f>
        <v>0</v>
      </c>
      <c r="J85" s="221"/>
      <c r="K85" s="222"/>
      <c r="L85" s="222"/>
      <c r="M85" s="222"/>
      <c r="N85" s="222"/>
      <c r="O85" s="222"/>
      <c r="P85" s="222"/>
    </row>
    <row r="86" spans="1:16" s="223" customFormat="1" ht="13.5" customHeight="1" x14ac:dyDescent="0.25">
      <c r="A86" s="219" t="s">
        <v>8</v>
      </c>
      <c r="B86" s="355" t="s">
        <v>71</v>
      </c>
      <c r="C86" s="355"/>
      <c r="D86" s="355"/>
      <c r="E86" s="355"/>
      <c r="F86" s="355"/>
      <c r="G86" s="355"/>
      <c r="H86" s="250">
        <v>0</v>
      </c>
      <c r="I86" s="220">
        <f>SUM($I$35,$I$69,$I$79)*H86</f>
        <v>0</v>
      </c>
      <c r="J86" s="221"/>
      <c r="K86" s="222"/>
      <c r="L86" s="222"/>
      <c r="M86" s="222"/>
      <c r="N86" s="222"/>
      <c r="O86" s="222"/>
      <c r="P86" s="222"/>
    </row>
    <row r="87" spans="1:16" s="223" customFormat="1" ht="13.5" customHeight="1" x14ac:dyDescent="0.25">
      <c r="A87" s="219" t="s">
        <v>24</v>
      </c>
      <c r="B87" s="355" t="s">
        <v>72</v>
      </c>
      <c r="C87" s="355"/>
      <c r="D87" s="355"/>
      <c r="E87" s="355"/>
      <c r="F87" s="355"/>
      <c r="G87" s="355"/>
      <c r="H87" s="250">
        <v>0</v>
      </c>
      <c r="I87" s="220">
        <f>SUM($I$35,$I$69,$I$79)*H87</f>
        <v>0</v>
      </c>
      <c r="J87" s="221"/>
      <c r="K87" s="222"/>
      <c r="L87" s="222"/>
      <c r="M87" s="222"/>
      <c r="N87" s="222"/>
      <c r="O87" s="222"/>
      <c r="P87" s="222"/>
    </row>
    <row r="88" spans="1:16" s="223" customFormat="1" ht="13.5" customHeight="1" x14ac:dyDescent="0.25">
      <c r="A88" s="219" t="s">
        <v>26</v>
      </c>
      <c r="B88" s="355" t="s">
        <v>134</v>
      </c>
      <c r="C88" s="355"/>
      <c r="D88" s="355"/>
      <c r="E88" s="355"/>
      <c r="F88" s="355"/>
      <c r="G88" s="355"/>
      <c r="H88" s="246">
        <v>0</v>
      </c>
      <c r="I88" s="220">
        <f t="shared" ref="I88" si="2">SUM($I$35,$I$69,$I$79)*H88</f>
        <v>0</v>
      </c>
      <c r="J88" s="221"/>
      <c r="K88" s="222"/>
      <c r="L88" s="222"/>
      <c r="M88" s="222"/>
      <c r="N88" s="222"/>
      <c r="O88" s="222"/>
      <c r="P88" s="222"/>
    </row>
    <row r="89" spans="1:16" ht="13.5" customHeight="1" x14ac:dyDescent="0.25">
      <c r="A89" s="87"/>
      <c r="B89" s="359" t="s">
        <v>73</v>
      </c>
      <c r="C89" s="359"/>
      <c r="D89" s="359"/>
      <c r="E89" s="359"/>
      <c r="F89" s="359"/>
      <c r="G89" s="359"/>
      <c r="H89" s="88">
        <f>SUM(H83:H88)</f>
        <v>9.2592592592592587E-3</v>
      </c>
      <c r="I89" s="64">
        <f>SUM(I83:I88)</f>
        <v>28.375084198837165</v>
      </c>
      <c r="J89" s="65"/>
      <c r="K89" s="31"/>
      <c r="L89" s="33"/>
      <c r="M89" s="34"/>
    </row>
    <row r="90" spans="1:16" ht="5.25" customHeight="1" x14ac:dyDescent="0.25">
      <c r="A90" s="89"/>
      <c r="B90" s="329"/>
      <c r="C90" s="329"/>
      <c r="D90" s="329"/>
      <c r="E90" s="329"/>
      <c r="F90" s="329"/>
      <c r="G90" s="330"/>
      <c r="H90" s="330"/>
      <c r="I90" s="72"/>
      <c r="J90" s="72"/>
    </row>
    <row r="91" spans="1:16" ht="13.5" customHeight="1" x14ac:dyDescent="0.25">
      <c r="A91" s="142" t="s">
        <v>74</v>
      </c>
      <c r="B91" s="360" t="s">
        <v>75</v>
      </c>
      <c r="C91" s="361"/>
      <c r="D91" s="361"/>
      <c r="E91" s="361"/>
      <c r="F91" s="361"/>
      <c r="G91" s="361"/>
      <c r="H91" s="362"/>
      <c r="I91" s="142" t="s">
        <v>19</v>
      </c>
      <c r="J91" s="55"/>
    </row>
    <row r="92" spans="1:16" ht="13.5" customHeight="1" x14ac:dyDescent="0.25">
      <c r="A92" s="137" t="s">
        <v>2</v>
      </c>
      <c r="B92" s="339" t="s">
        <v>208</v>
      </c>
      <c r="C92" s="340"/>
      <c r="D92" s="340"/>
      <c r="E92" s="340"/>
      <c r="F92" s="340"/>
      <c r="G92" s="340"/>
      <c r="H92" s="363"/>
      <c r="I92" s="90">
        <v>0</v>
      </c>
      <c r="J92" s="91"/>
    </row>
    <row r="93" spans="1:16" ht="13.5" customHeight="1" x14ac:dyDescent="0.25">
      <c r="A93" s="87"/>
      <c r="B93" s="336" t="s">
        <v>76</v>
      </c>
      <c r="C93" s="337"/>
      <c r="D93" s="337"/>
      <c r="E93" s="337"/>
      <c r="F93" s="337"/>
      <c r="G93" s="337"/>
      <c r="H93" s="338"/>
      <c r="I93" s="64">
        <f>SUM(I92)</f>
        <v>0</v>
      </c>
      <c r="J93" s="65"/>
    </row>
    <row r="94" spans="1:16" x14ac:dyDescent="0.25">
      <c r="A94" s="89"/>
      <c r="B94" s="329"/>
      <c r="C94" s="329"/>
      <c r="D94" s="329"/>
      <c r="E94" s="329"/>
      <c r="F94" s="329"/>
      <c r="G94" s="330"/>
      <c r="H94" s="330"/>
      <c r="I94" s="72"/>
      <c r="J94" s="72"/>
    </row>
    <row r="95" spans="1:16" ht="13.5" customHeight="1" x14ac:dyDescent="0.25">
      <c r="A95" s="356" t="s">
        <v>77</v>
      </c>
      <c r="B95" s="356"/>
      <c r="C95" s="356"/>
      <c r="D95" s="356"/>
      <c r="E95" s="356"/>
      <c r="F95" s="356"/>
      <c r="G95" s="356"/>
      <c r="H95" s="356"/>
      <c r="I95" s="356"/>
      <c r="J95" s="49"/>
    </row>
    <row r="96" spans="1:16" ht="13.5" customHeight="1" x14ac:dyDescent="0.25">
      <c r="A96" s="79" t="s">
        <v>66</v>
      </c>
      <c r="B96" s="357" t="s">
        <v>69</v>
      </c>
      <c r="C96" s="357"/>
      <c r="D96" s="357"/>
      <c r="E96" s="357"/>
      <c r="F96" s="357"/>
      <c r="G96" s="357"/>
      <c r="H96" s="357"/>
      <c r="I96" s="56">
        <f>I89</f>
        <v>28.375084198837165</v>
      </c>
      <c r="J96" s="57"/>
    </row>
    <row r="97" spans="1:16" ht="13.5" customHeight="1" x14ac:dyDescent="0.25">
      <c r="A97" s="79" t="s">
        <v>74</v>
      </c>
      <c r="B97" s="358" t="s">
        <v>78</v>
      </c>
      <c r="C97" s="358"/>
      <c r="D97" s="358"/>
      <c r="E97" s="358"/>
      <c r="F97" s="358"/>
      <c r="G97" s="358"/>
      <c r="H97" s="358"/>
      <c r="I97" s="56">
        <f>I93</f>
        <v>0</v>
      </c>
      <c r="J97" s="57"/>
    </row>
    <row r="98" spans="1:16" ht="13.5" customHeight="1" x14ac:dyDescent="0.25">
      <c r="A98" s="335" t="s">
        <v>79</v>
      </c>
      <c r="B98" s="335"/>
      <c r="C98" s="335"/>
      <c r="D98" s="335"/>
      <c r="E98" s="335"/>
      <c r="F98" s="335"/>
      <c r="G98" s="335"/>
      <c r="H98" s="335"/>
      <c r="I98" s="60">
        <f>SUM(I96:I97)</f>
        <v>28.375084198837165</v>
      </c>
      <c r="J98" s="61"/>
    </row>
    <row r="99" spans="1:16" x14ac:dyDescent="0.25">
      <c r="A99" s="89"/>
      <c r="B99" s="329"/>
      <c r="C99" s="329"/>
      <c r="D99" s="329"/>
      <c r="E99" s="329"/>
      <c r="F99" s="329"/>
      <c r="G99" s="330"/>
      <c r="H99" s="330"/>
      <c r="I99" s="72"/>
      <c r="J99" s="72"/>
    </row>
    <row r="100" spans="1:16" ht="13.5" customHeight="1" x14ac:dyDescent="0.25">
      <c r="A100" s="347" t="s">
        <v>128</v>
      </c>
      <c r="B100" s="347"/>
      <c r="C100" s="347"/>
      <c r="D100" s="347"/>
      <c r="E100" s="347"/>
      <c r="F100" s="347"/>
      <c r="G100" s="347"/>
      <c r="H100" s="347"/>
      <c r="I100" s="347"/>
      <c r="J100" s="54"/>
    </row>
    <row r="101" spans="1:16" ht="13.5" customHeight="1" x14ac:dyDescent="0.25">
      <c r="A101" s="142">
        <v>5</v>
      </c>
      <c r="B101" s="335" t="s">
        <v>80</v>
      </c>
      <c r="C101" s="335"/>
      <c r="D101" s="335"/>
      <c r="E101" s="335"/>
      <c r="F101" s="335"/>
      <c r="G101" s="335"/>
      <c r="H101" s="335"/>
      <c r="I101" s="142" t="s">
        <v>19</v>
      </c>
      <c r="J101" s="55"/>
    </row>
    <row r="102" spans="1:16" ht="13.5" customHeight="1" x14ac:dyDescent="0.25">
      <c r="A102" s="137" t="s">
        <v>2</v>
      </c>
      <c r="B102" s="349" t="s">
        <v>142</v>
      </c>
      <c r="C102" s="349"/>
      <c r="D102" s="349"/>
      <c r="E102" s="349"/>
      <c r="F102" s="349"/>
      <c r="G102" s="349"/>
      <c r="H102" s="349"/>
      <c r="I102" s="92">
        <f>(UNIF!G44+UNIF!G59)/2</f>
        <v>70.03164653219622</v>
      </c>
      <c r="J102" s="93"/>
    </row>
    <row r="103" spans="1:16" ht="13.5" customHeight="1" x14ac:dyDescent="0.25">
      <c r="A103" s="137" t="s">
        <v>4</v>
      </c>
      <c r="B103" s="349" t="s">
        <v>81</v>
      </c>
      <c r="C103" s="349"/>
      <c r="D103" s="349"/>
      <c r="E103" s="349"/>
      <c r="F103" s="349"/>
      <c r="G103" s="349"/>
      <c r="H103" s="349"/>
      <c r="I103" s="92">
        <v>0</v>
      </c>
      <c r="J103" s="93"/>
    </row>
    <row r="104" spans="1:16" ht="13.5" customHeight="1" x14ac:dyDescent="0.25">
      <c r="A104" s="137" t="s">
        <v>6</v>
      </c>
      <c r="B104" s="349" t="s">
        <v>206</v>
      </c>
      <c r="C104" s="349"/>
      <c r="D104" s="349"/>
      <c r="E104" s="349"/>
      <c r="F104" s="349"/>
      <c r="G104" s="349"/>
      <c r="H104" s="349"/>
      <c r="I104" s="92">
        <v>0</v>
      </c>
      <c r="J104" s="93"/>
    </row>
    <row r="105" spans="1:16" s="78" customFormat="1" ht="13.5" customHeight="1" x14ac:dyDescent="0.25">
      <c r="A105" s="146" t="s">
        <v>8</v>
      </c>
      <c r="B105" s="350" t="s">
        <v>132</v>
      </c>
      <c r="C105" s="351"/>
      <c r="D105" s="351"/>
      <c r="E105" s="351"/>
      <c r="F105" s="351"/>
      <c r="G105" s="351"/>
      <c r="H105" s="352"/>
      <c r="I105" s="76">
        <v>0</v>
      </c>
      <c r="J105" s="77"/>
      <c r="K105" s="32"/>
      <c r="L105" s="32"/>
      <c r="M105" s="32"/>
      <c r="N105" s="32"/>
      <c r="O105" s="32"/>
      <c r="P105" s="32"/>
    </row>
    <row r="106" spans="1:16" ht="13.5" customHeight="1" x14ac:dyDescent="0.25">
      <c r="A106" s="335" t="s">
        <v>82</v>
      </c>
      <c r="B106" s="335"/>
      <c r="C106" s="335"/>
      <c r="D106" s="335"/>
      <c r="E106" s="335"/>
      <c r="F106" s="335"/>
      <c r="G106" s="335"/>
      <c r="H106" s="335"/>
      <c r="I106" s="60">
        <f>SUM(I102:I105)</f>
        <v>70.03164653219622</v>
      </c>
      <c r="J106" s="61"/>
    </row>
    <row r="107" spans="1:16" x14ac:dyDescent="0.25">
      <c r="A107" s="353"/>
      <c r="B107" s="353"/>
      <c r="C107" s="353"/>
      <c r="D107" s="353"/>
      <c r="E107" s="353"/>
      <c r="F107" s="353"/>
      <c r="G107" s="354"/>
      <c r="H107" s="354"/>
      <c r="I107" s="66"/>
      <c r="J107" s="66"/>
    </row>
    <row r="108" spans="1:16" ht="13.5" customHeight="1" x14ac:dyDescent="0.25">
      <c r="A108" s="347" t="s">
        <v>129</v>
      </c>
      <c r="B108" s="347"/>
      <c r="C108" s="347"/>
      <c r="D108" s="347"/>
      <c r="E108" s="347"/>
      <c r="F108" s="347"/>
      <c r="G108" s="347"/>
      <c r="H108" s="347"/>
      <c r="I108" s="347"/>
      <c r="J108" s="54"/>
    </row>
    <row r="109" spans="1:16" ht="13.5" customHeight="1" x14ac:dyDescent="0.25">
      <c r="A109" s="142">
        <v>6</v>
      </c>
      <c r="B109" s="335" t="s">
        <v>83</v>
      </c>
      <c r="C109" s="335"/>
      <c r="D109" s="335"/>
      <c r="E109" s="335"/>
      <c r="F109" s="335"/>
      <c r="G109" s="335"/>
      <c r="H109" s="142" t="s">
        <v>18</v>
      </c>
      <c r="I109" s="142" t="s">
        <v>19</v>
      </c>
      <c r="J109" s="55"/>
    </row>
    <row r="110" spans="1:16" s="83" customFormat="1" ht="13.5" customHeight="1" x14ac:dyDescent="0.25">
      <c r="A110" s="145" t="s">
        <v>2</v>
      </c>
      <c r="B110" s="348" t="s">
        <v>84</v>
      </c>
      <c r="C110" s="348"/>
      <c r="D110" s="348"/>
      <c r="E110" s="348"/>
      <c r="F110" s="348"/>
      <c r="G110" s="348"/>
      <c r="H110" s="94">
        <v>1.4999999999999999E-2</v>
      </c>
      <c r="I110" s="95">
        <f>SUM($I$129)*H110</f>
        <v>47.443737363081709</v>
      </c>
      <c r="J110" s="96"/>
      <c r="K110" s="178" t="s">
        <v>312</v>
      </c>
      <c r="L110" s="180">
        <v>5466.3</v>
      </c>
      <c r="M110" s="180"/>
      <c r="N110" s="21"/>
      <c r="O110" s="21"/>
      <c r="P110" s="21"/>
    </row>
    <row r="111" spans="1:16" s="83" customFormat="1" ht="13.5" customHeight="1" x14ac:dyDescent="0.25">
      <c r="A111" s="145" t="s">
        <v>4</v>
      </c>
      <c r="B111" s="348" t="s">
        <v>85</v>
      </c>
      <c r="C111" s="348"/>
      <c r="D111" s="348"/>
      <c r="E111" s="348"/>
      <c r="F111" s="348"/>
      <c r="G111" s="348"/>
      <c r="H111" s="94">
        <v>1.3162E-2</v>
      </c>
      <c r="I111" s="95">
        <f>SUM($I$129,I110)*H111</f>
        <v>42.25475254936498</v>
      </c>
      <c r="J111" s="96"/>
      <c r="K111" s="178" t="s">
        <v>313</v>
      </c>
      <c r="L111" s="180">
        <f>PROPOSTA!I44</f>
        <v>6957.9</v>
      </c>
      <c r="M111" s="180"/>
      <c r="N111" s="21"/>
      <c r="O111" s="21"/>
      <c r="P111" s="21"/>
    </row>
    <row r="112" spans="1:16" ht="13.5" customHeight="1" x14ac:dyDescent="0.25">
      <c r="A112" s="137"/>
      <c r="B112" s="342"/>
      <c r="C112" s="342"/>
      <c r="D112" s="342"/>
      <c r="E112" s="343" t="s">
        <v>86</v>
      </c>
      <c r="F112" s="343"/>
      <c r="G112" s="343"/>
      <c r="H112" s="343"/>
      <c r="I112" s="97"/>
      <c r="J112" s="98"/>
      <c r="L112" s="181">
        <f>L110-L111</f>
        <v>-1491.5999999999995</v>
      </c>
      <c r="M112" s="181"/>
    </row>
    <row r="113" spans="1:10" ht="13.5" customHeight="1" x14ac:dyDescent="0.25">
      <c r="A113" s="137" t="s">
        <v>6</v>
      </c>
      <c r="B113" s="344" t="s">
        <v>87</v>
      </c>
      <c r="C113" s="344"/>
      <c r="D113" s="344"/>
      <c r="E113" s="345">
        <f>SUM(H115,H116,H119)</f>
        <v>6.5060000000000007E-2</v>
      </c>
      <c r="F113" s="346"/>
      <c r="G113" s="345">
        <f>1-((H115+H116+H119))</f>
        <v>0.93493999999999999</v>
      </c>
      <c r="H113" s="346"/>
      <c r="I113" s="99"/>
      <c r="J113" s="100"/>
    </row>
    <row r="114" spans="1:10" ht="13.5" customHeight="1" x14ac:dyDescent="0.25">
      <c r="A114" s="137" t="s">
        <v>88</v>
      </c>
      <c r="B114" s="339" t="s">
        <v>89</v>
      </c>
      <c r="C114" s="340"/>
      <c r="D114" s="340"/>
      <c r="E114" s="340"/>
      <c r="F114" s="340"/>
      <c r="G114" s="340"/>
      <c r="H114" s="340"/>
      <c r="I114" s="101"/>
      <c r="J114" s="102"/>
    </row>
    <row r="115" spans="1:10" ht="13.5" customHeight="1" x14ac:dyDescent="0.25">
      <c r="A115" s="103" t="s">
        <v>90</v>
      </c>
      <c r="B115" s="341" t="s">
        <v>91</v>
      </c>
      <c r="C115" s="341"/>
      <c r="D115" s="341"/>
      <c r="E115" s="341"/>
      <c r="F115" s="341"/>
      <c r="G115" s="341"/>
      <c r="H115" s="104">
        <v>2.6800000000000001E-3</v>
      </c>
      <c r="I115" s="97">
        <f>SUM($I$129,$I$110,$I$111)*H115/(1-$E$113)</f>
        <v>9.3235997623761495</v>
      </c>
      <c r="J115" s="98"/>
    </row>
    <row r="116" spans="1:10" ht="13.5" customHeight="1" x14ac:dyDescent="0.25">
      <c r="A116" s="103" t="s">
        <v>92</v>
      </c>
      <c r="B116" s="341" t="s">
        <v>93</v>
      </c>
      <c r="C116" s="341"/>
      <c r="D116" s="341"/>
      <c r="E116" s="341"/>
      <c r="F116" s="341"/>
      <c r="G116" s="341"/>
      <c r="H116" s="104">
        <v>1.238E-2</v>
      </c>
      <c r="I116" s="97">
        <f>SUM($I$129,$I$110,$I$111)*H116/(1-$E$113)</f>
        <v>43.069464573961461</v>
      </c>
      <c r="J116" s="98"/>
    </row>
    <row r="117" spans="1:10" ht="13.5" customHeight="1" x14ac:dyDescent="0.25">
      <c r="A117" s="137" t="s">
        <v>94</v>
      </c>
      <c r="B117" s="339" t="s">
        <v>95</v>
      </c>
      <c r="C117" s="340"/>
      <c r="D117" s="340"/>
      <c r="E117" s="340"/>
      <c r="F117" s="340"/>
      <c r="G117" s="340"/>
      <c r="H117" s="340"/>
      <c r="I117" s="101"/>
      <c r="J117" s="102"/>
    </row>
    <row r="118" spans="1:10" ht="13.5" customHeight="1" x14ac:dyDescent="0.25">
      <c r="A118" s="137" t="s">
        <v>96</v>
      </c>
      <c r="B118" s="339" t="s">
        <v>97</v>
      </c>
      <c r="C118" s="340"/>
      <c r="D118" s="340"/>
      <c r="E118" s="340"/>
      <c r="F118" s="340"/>
      <c r="G118" s="340"/>
      <c r="H118" s="340"/>
      <c r="I118" s="101"/>
      <c r="J118" s="102"/>
    </row>
    <row r="119" spans="1:10" ht="13.5" customHeight="1" x14ac:dyDescent="0.25">
      <c r="A119" s="103" t="s">
        <v>98</v>
      </c>
      <c r="B119" s="341" t="s">
        <v>99</v>
      </c>
      <c r="C119" s="341"/>
      <c r="D119" s="341"/>
      <c r="E119" s="341"/>
      <c r="F119" s="341"/>
      <c r="G119" s="341"/>
      <c r="H119" s="105">
        <v>0.05</v>
      </c>
      <c r="I119" s="97">
        <f>SUM($I$129,$I$110,$I$111)*H119/(1-$E$113)</f>
        <v>173.94775676074906</v>
      </c>
      <c r="J119" s="98"/>
    </row>
    <row r="120" spans="1:10" ht="13.5" customHeight="1" x14ac:dyDescent="0.25">
      <c r="A120" s="335" t="s">
        <v>100</v>
      </c>
      <c r="B120" s="335"/>
      <c r="C120" s="335"/>
      <c r="D120" s="335"/>
      <c r="E120" s="335"/>
      <c r="F120" s="335"/>
      <c r="G120" s="335"/>
      <c r="H120" s="335"/>
      <c r="I120" s="60">
        <f>SUM(I110:I119)</f>
        <v>316.03931100953332</v>
      </c>
      <c r="J120" s="61"/>
    </row>
    <row r="121" spans="1:10" x14ac:dyDescent="0.25">
      <c r="A121" s="89"/>
      <c r="B121" s="329"/>
      <c r="C121" s="329"/>
      <c r="D121" s="329"/>
      <c r="E121" s="329"/>
      <c r="F121" s="329"/>
      <c r="G121" s="330"/>
      <c r="H121" s="330"/>
      <c r="I121" s="72"/>
      <c r="J121" s="72"/>
    </row>
    <row r="122" spans="1:10" ht="13.5" customHeight="1" x14ac:dyDescent="0.25">
      <c r="A122" s="325" t="s">
        <v>101</v>
      </c>
      <c r="B122" s="325"/>
      <c r="C122" s="325"/>
      <c r="D122" s="325"/>
      <c r="E122" s="325"/>
      <c r="F122" s="325"/>
      <c r="G122" s="325"/>
      <c r="H122" s="325"/>
      <c r="I122" s="325"/>
      <c r="J122" s="106"/>
    </row>
    <row r="123" spans="1:10" ht="13.5" customHeight="1" x14ac:dyDescent="0.25">
      <c r="A123" s="142"/>
      <c r="B123" s="336" t="s">
        <v>102</v>
      </c>
      <c r="C123" s="337"/>
      <c r="D123" s="337"/>
      <c r="E123" s="337"/>
      <c r="F123" s="337"/>
      <c r="G123" s="337"/>
      <c r="H123" s="338"/>
      <c r="I123" s="142" t="s">
        <v>19</v>
      </c>
      <c r="J123" s="55"/>
    </row>
    <row r="124" spans="1:10" ht="13.5" customHeight="1" x14ac:dyDescent="0.25">
      <c r="A124" s="137" t="s">
        <v>2</v>
      </c>
      <c r="B124" s="333" t="s">
        <v>103</v>
      </c>
      <c r="C124" s="333"/>
      <c r="D124" s="333"/>
      <c r="E124" s="333"/>
      <c r="F124" s="333"/>
      <c r="G124" s="333"/>
      <c r="H124" s="333"/>
      <c r="I124" s="56">
        <f>I35</f>
        <v>1482.609201</v>
      </c>
      <c r="J124" s="57"/>
    </row>
    <row r="125" spans="1:10" ht="13.5" customHeight="1" x14ac:dyDescent="0.25">
      <c r="A125" s="137" t="s">
        <v>4</v>
      </c>
      <c r="B125" s="333" t="s">
        <v>104</v>
      </c>
      <c r="C125" s="333"/>
      <c r="D125" s="333"/>
      <c r="E125" s="333"/>
      <c r="F125" s="333"/>
      <c r="G125" s="333"/>
      <c r="H125" s="333"/>
      <c r="I125" s="56">
        <f>I69</f>
        <v>1529.8720056585666</v>
      </c>
      <c r="J125" s="57"/>
    </row>
    <row r="126" spans="1:10" ht="13.5" customHeight="1" x14ac:dyDescent="0.25">
      <c r="A126" s="137" t="s">
        <v>6</v>
      </c>
      <c r="B126" s="333" t="s">
        <v>105</v>
      </c>
      <c r="C126" s="333"/>
      <c r="D126" s="333"/>
      <c r="E126" s="333"/>
      <c r="F126" s="333"/>
      <c r="G126" s="333"/>
      <c r="H126" s="333"/>
      <c r="I126" s="56">
        <f>I79</f>
        <v>52.027886815847666</v>
      </c>
      <c r="J126" s="57"/>
    </row>
    <row r="127" spans="1:10" ht="13.5" customHeight="1" x14ac:dyDescent="0.25">
      <c r="A127" s="137" t="s">
        <v>8</v>
      </c>
      <c r="B127" s="333" t="s">
        <v>106</v>
      </c>
      <c r="C127" s="333"/>
      <c r="D127" s="333"/>
      <c r="E127" s="333"/>
      <c r="F127" s="333"/>
      <c r="G127" s="333"/>
      <c r="H127" s="333"/>
      <c r="I127" s="56">
        <f>I98</f>
        <v>28.375084198837165</v>
      </c>
      <c r="J127" s="57"/>
    </row>
    <row r="128" spans="1:10" ht="13.5" customHeight="1" x14ac:dyDescent="0.25">
      <c r="A128" s="137" t="s">
        <v>24</v>
      </c>
      <c r="B128" s="333" t="s">
        <v>107</v>
      </c>
      <c r="C128" s="333"/>
      <c r="D128" s="333"/>
      <c r="E128" s="333"/>
      <c r="F128" s="333"/>
      <c r="G128" s="333"/>
      <c r="H128" s="333"/>
      <c r="I128" s="56">
        <f>I106</f>
        <v>70.03164653219622</v>
      </c>
      <c r="J128" s="57"/>
    </row>
    <row r="129" spans="1:12" ht="13.5" customHeight="1" x14ac:dyDescent="0.25">
      <c r="A129" s="328" t="s">
        <v>108</v>
      </c>
      <c r="B129" s="328"/>
      <c r="C129" s="328"/>
      <c r="D129" s="328"/>
      <c r="E129" s="328"/>
      <c r="F129" s="328"/>
      <c r="G129" s="328"/>
      <c r="H129" s="328"/>
      <c r="I129" s="107">
        <f>SUM(I124:I128)</f>
        <v>3162.9158242054473</v>
      </c>
      <c r="J129" s="108"/>
    </row>
    <row r="130" spans="1:12" ht="13.5" customHeight="1" x14ac:dyDescent="0.25">
      <c r="A130" s="137" t="s">
        <v>26</v>
      </c>
      <c r="B130" s="334" t="s">
        <v>109</v>
      </c>
      <c r="C130" s="334"/>
      <c r="D130" s="334"/>
      <c r="E130" s="334"/>
      <c r="F130" s="334"/>
      <c r="G130" s="334"/>
      <c r="H130" s="334"/>
      <c r="I130" s="56">
        <f>I120</f>
        <v>316.03931100953332</v>
      </c>
      <c r="J130" s="57"/>
    </row>
    <row r="131" spans="1:12" ht="13.5" customHeight="1" x14ac:dyDescent="0.25">
      <c r="A131" s="328" t="s">
        <v>110</v>
      </c>
      <c r="B131" s="328"/>
      <c r="C131" s="328"/>
      <c r="D131" s="328"/>
      <c r="E131" s="328"/>
      <c r="F131" s="328"/>
      <c r="G131" s="328"/>
      <c r="H131" s="328"/>
      <c r="I131" s="109">
        <f>TRUNC(SUM(I129:I130),2)</f>
        <v>3478.95</v>
      </c>
      <c r="J131" s="110"/>
      <c r="K131" s="35">
        <f>SUM(I35,I69,I79,I98,I106,I110,I111)/G113</f>
        <v>3478.9551352149806</v>
      </c>
    </row>
    <row r="132" spans="1:12" ht="13.5" customHeight="1" x14ac:dyDescent="0.25">
      <c r="A132" s="89"/>
      <c r="B132" s="329"/>
      <c r="C132" s="329"/>
      <c r="D132" s="329"/>
      <c r="E132" s="329"/>
      <c r="F132" s="329"/>
      <c r="G132" s="330"/>
      <c r="H132" s="330"/>
      <c r="I132" s="72"/>
      <c r="J132" s="72"/>
    </row>
    <row r="133" spans="1:12" ht="13.5" customHeight="1" x14ac:dyDescent="0.25">
      <c r="A133" s="325" t="s">
        <v>111</v>
      </c>
      <c r="B133" s="325"/>
      <c r="C133" s="325"/>
      <c r="D133" s="325"/>
      <c r="E133" s="325"/>
      <c r="F133" s="325"/>
      <c r="G133" s="325"/>
      <c r="H133" s="325"/>
      <c r="I133" s="325"/>
      <c r="J133" s="106"/>
    </row>
    <row r="134" spans="1:12" ht="36" x14ac:dyDescent="0.25">
      <c r="A134" s="331" t="s">
        <v>112</v>
      </c>
      <c r="B134" s="331"/>
      <c r="C134" s="331"/>
      <c r="D134" s="111" t="s">
        <v>113</v>
      </c>
      <c r="E134" s="138" t="s">
        <v>120</v>
      </c>
      <c r="F134" s="332" t="s">
        <v>121</v>
      </c>
      <c r="G134" s="332"/>
      <c r="H134" s="112" t="s">
        <v>114</v>
      </c>
      <c r="I134" s="113" t="s">
        <v>122</v>
      </c>
      <c r="J134" s="114"/>
    </row>
    <row r="135" spans="1:12" ht="21" customHeight="1" x14ac:dyDescent="0.25">
      <c r="A135" s="136" t="s">
        <v>115</v>
      </c>
      <c r="B135" s="323" t="str">
        <f>H23</f>
        <v>AGENTE DE PORTARIA</v>
      </c>
      <c r="C135" s="323"/>
      <c r="D135" s="115">
        <f>I131</f>
        <v>3478.95</v>
      </c>
      <c r="E135" s="136">
        <v>1</v>
      </c>
      <c r="F135" s="324">
        <f>(D135*E135)</f>
        <v>3478.95</v>
      </c>
      <c r="G135" s="324"/>
      <c r="H135" s="136">
        <f>H18</f>
        <v>2</v>
      </c>
      <c r="I135" s="143">
        <f>F135*H135</f>
        <v>6957.9</v>
      </c>
      <c r="J135" s="116"/>
    </row>
    <row r="136" spans="1:12" ht="13.5" customHeight="1" x14ac:dyDescent="0.25">
      <c r="A136" s="325" t="s">
        <v>116</v>
      </c>
      <c r="B136" s="325"/>
      <c r="C136" s="325"/>
      <c r="D136" s="325"/>
      <c r="E136" s="325"/>
      <c r="F136" s="325"/>
      <c r="G136" s="325"/>
      <c r="H136" s="325"/>
      <c r="I136" s="325"/>
      <c r="J136" s="106"/>
    </row>
    <row r="137" spans="1:12" ht="13.5" customHeight="1" x14ac:dyDescent="0.25">
      <c r="A137" s="136"/>
      <c r="B137" s="326" t="s">
        <v>117</v>
      </c>
      <c r="C137" s="326"/>
      <c r="D137" s="326"/>
      <c r="E137" s="326"/>
      <c r="F137" s="326"/>
      <c r="G137" s="326"/>
      <c r="H137" s="326"/>
      <c r="I137" s="117" t="s">
        <v>19</v>
      </c>
      <c r="J137" s="118"/>
    </row>
    <row r="138" spans="1:12" ht="13.5" customHeight="1" x14ac:dyDescent="0.25">
      <c r="A138" s="125" t="s">
        <v>2</v>
      </c>
      <c r="B138" s="327" t="s">
        <v>118</v>
      </c>
      <c r="C138" s="327"/>
      <c r="D138" s="327"/>
      <c r="E138" s="327"/>
      <c r="F138" s="327"/>
      <c r="G138" s="327"/>
      <c r="H138" s="327"/>
      <c r="I138" s="92">
        <f>F135</f>
        <v>3478.95</v>
      </c>
      <c r="J138" s="93"/>
      <c r="L138" s="35"/>
    </row>
    <row r="139" spans="1:12" ht="13.5" customHeight="1" x14ac:dyDescent="0.25">
      <c r="A139" s="136" t="s">
        <v>4</v>
      </c>
      <c r="B139" s="327" t="s">
        <v>119</v>
      </c>
      <c r="C139" s="327"/>
      <c r="D139" s="327"/>
      <c r="E139" s="327"/>
      <c r="F139" s="327"/>
      <c r="G139" s="327"/>
      <c r="H139" s="327"/>
      <c r="I139" s="92">
        <f>SUM(I138:I138)*H18</f>
        <v>6957.9</v>
      </c>
      <c r="J139" s="93"/>
      <c r="K139" s="122"/>
      <c r="L139" s="119"/>
    </row>
    <row r="140" spans="1:12" ht="13.5" customHeight="1" x14ac:dyDescent="0.25">
      <c r="A140" s="136" t="s">
        <v>6</v>
      </c>
      <c r="B140" s="323" t="s">
        <v>123</v>
      </c>
      <c r="C140" s="323"/>
      <c r="D140" s="323"/>
      <c r="E140" s="323"/>
      <c r="F140" s="323"/>
      <c r="G140" s="323"/>
      <c r="H140" s="323"/>
      <c r="I140" s="120">
        <f>(I139*12)</f>
        <v>83494.799999999988</v>
      </c>
      <c r="J140" s="121"/>
    </row>
    <row r="141" spans="1:12" x14ac:dyDescent="0.25">
      <c r="I141" s="124"/>
    </row>
  </sheetData>
  <sheetProtection formatCells="0" formatColumns="0" formatRows="0" insertColumns="0" insertRows="0" insertHyperlinks="0" deleteColumns="0" deleteRows="0" sort="0" autoFilter="0" pivotTables="0"/>
  <mergeCells count="169">
    <mergeCell ref="A7:I7"/>
    <mergeCell ref="A8:I8"/>
    <mergeCell ref="A9:I9"/>
    <mergeCell ref="A10:I10"/>
    <mergeCell ref="A11:I11"/>
    <mergeCell ref="B12:D12"/>
    <mergeCell ref="E12:I12"/>
    <mergeCell ref="A1:I1"/>
    <mergeCell ref="A2:I2"/>
    <mergeCell ref="A3:I3"/>
    <mergeCell ref="A4:I4"/>
    <mergeCell ref="A5:I5"/>
    <mergeCell ref="A6:I6"/>
    <mergeCell ref="A16:I16"/>
    <mergeCell ref="A17:E17"/>
    <mergeCell ref="F17:G17"/>
    <mergeCell ref="H17:I17"/>
    <mergeCell ref="A18:E18"/>
    <mergeCell ref="F18:G18"/>
    <mergeCell ref="H18:I18"/>
    <mergeCell ref="B13:D13"/>
    <mergeCell ref="E13:I13"/>
    <mergeCell ref="B14:D14"/>
    <mergeCell ref="E14:I14"/>
    <mergeCell ref="B15:D15"/>
    <mergeCell ref="E15:I15"/>
    <mergeCell ref="B23:G23"/>
    <mergeCell ref="H23:I23"/>
    <mergeCell ref="B24:G24"/>
    <mergeCell ref="H24:I24"/>
    <mergeCell ref="A25:I25"/>
    <mergeCell ref="A26:I26"/>
    <mergeCell ref="A19:I19"/>
    <mergeCell ref="B20:G20"/>
    <mergeCell ref="H20:I20"/>
    <mergeCell ref="B21:G21"/>
    <mergeCell ref="H21:I21"/>
    <mergeCell ref="B22:G22"/>
    <mergeCell ref="H22:I22"/>
    <mergeCell ref="B30:F30"/>
    <mergeCell ref="G30:H30"/>
    <mergeCell ref="B31:F31"/>
    <mergeCell ref="G31:H31"/>
    <mergeCell ref="B32:F32"/>
    <mergeCell ref="G32:H32"/>
    <mergeCell ref="B27:F27"/>
    <mergeCell ref="G27:H27"/>
    <mergeCell ref="B28:F28"/>
    <mergeCell ref="G28:H28"/>
    <mergeCell ref="B29:F29"/>
    <mergeCell ref="G29:H29"/>
    <mergeCell ref="A37:I37"/>
    <mergeCell ref="B38:G38"/>
    <mergeCell ref="B39:G39"/>
    <mergeCell ref="B40:G40"/>
    <mergeCell ref="B41:G41"/>
    <mergeCell ref="B43:G43"/>
    <mergeCell ref="B33:F33"/>
    <mergeCell ref="G33:H33"/>
    <mergeCell ref="B34:F34"/>
    <mergeCell ref="G34:H34"/>
    <mergeCell ref="A35:H35"/>
    <mergeCell ref="A36:I36"/>
    <mergeCell ref="B50:G50"/>
    <mergeCell ref="B51:G51"/>
    <mergeCell ref="A52:G52"/>
    <mergeCell ref="B54:G54"/>
    <mergeCell ref="B55:G55"/>
    <mergeCell ref="B56:G56"/>
    <mergeCell ref="B44:G44"/>
    <mergeCell ref="B45:G45"/>
    <mergeCell ref="B46:G46"/>
    <mergeCell ref="B47:G47"/>
    <mergeCell ref="B48:G48"/>
    <mergeCell ref="B49:G49"/>
    <mergeCell ref="A63:H63"/>
    <mergeCell ref="A65:I65"/>
    <mergeCell ref="B66:H66"/>
    <mergeCell ref="B67:H67"/>
    <mergeCell ref="B68:H68"/>
    <mergeCell ref="A69:H69"/>
    <mergeCell ref="B57:G57"/>
    <mergeCell ref="B58:G58"/>
    <mergeCell ref="B59:G59"/>
    <mergeCell ref="B60:G60"/>
    <mergeCell ref="B61:G61"/>
    <mergeCell ref="B62:G62"/>
    <mergeCell ref="B77:G77"/>
    <mergeCell ref="B78:G78"/>
    <mergeCell ref="A79:G79"/>
    <mergeCell ref="B80:F80"/>
    <mergeCell ref="G80:H80"/>
    <mergeCell ref="A81:I81"/>
    <mergeCell ref="A71:I71"/>
    <mergeCell ref="B72:G72"/>
    <mergeCell ref="B73:G73"/>
    <mergeCell ref="B74:G74"/>
    <mergeCell ref="B75:G75"/>
    <mergeCell ref="B76:G76"/>
    <mergeCell ref="B88:G88"/>
    <mergeCell ref="B89:G89"/>
    <mergeCell ref="B90:F90"/>
    <mergeCell ref="G90:H90"/>
    <mergeCell ref="B91:H91"/>
    <mergeCell ref="B92:H92"/>
    <mergeCell ref="B82:G82"/>
    <mergeCell ref="B83:G83"/>
    <mergeCell ref="B84:G84"/>
    <mergeCell ref="B85:G85"/>
    <mergeCell ref="B86:G86"/>
    <mergeCell ref="B87:G87"/>
    <mergeCell ref="A98:H98"/>
    <mergeCell ref="B99:F99"/>
    <mergeCell ref="G99:H99"/>
    <mergeCell ref="A100:I100"/>
    <mergeCell ref="B101:H101"/>
    <mergeCell ref="B102:H102"/>
    <mergeCell ref="B93:H93"/>
    <mergeCell ref="B94:F94"/>
    <mergeCell ref="G94:H94"/>
    <mergeCell ref="A95:I95"/>
    <mergeCell ref="B96:H96"/>
    <mergeCell ref="B97:H97"/>
    <mergeCell ref="A108:I108"/>
    <mergeCell ref="B109:G109"/>
    <mergeCell ref="B110:G110"/>
    <mergeCell ref="B111:G111"/>
    <mergeCell ref="B103:H103"/>
    <mergeCell ref="B104:H104"/>
    <mergeCell ref="B105:H105"/>
    <mergeCell ref="A106:H106"/>
    <mergeCell ref="A107:F107"/>
    <mergeCell ref="G107:H107"/>
    <mergeCell ref="B114:H114"/>
    <mergeCell ref="B115:G115"/>
    <mergeCell ref="B116:G116"/>
    <mergeCell ref="B117:H117"/>
    <mergeCell ref="B118:H118"/>
    <mergeCell ref="B119:G119"/>
    <mergeCell ref="B112:D112"/>
    <mergeCell ref="E112:H112"/>
    <mergeCell ref="B113:D113"/>
    <mergeCell ref="E113:F113"/>
    <mergeCell ref="G113:H113"/>
    <mergeCell ref="B125:H125"/>
    <mergeCell ref="B126:H126"/>
    <mergeCell ref="B127:H127"/>
    <mergeCell ref="B128:H128"/>
    <mergeCell ref="A129:H129"/>
    <mergeCell ref="B130:H130"/>
    <mergeCell ref="A120:H120"/>
    <mergeCell ref="B121:F121"/>
    <mergeCell ref="G121:H121"/>
    <mergeCell ref="A122:I122"/>
    <mergeCell ref="B123:H123"/>
    <mergeCell ref="B124:H124"/>
    <mergeCell ref="B140:H140"/>
    <mergeCell ref="B135:C135"/>
    <mergeCell ref="F135:G135"/>
    <mergeCell ref="A136:I136"/>
    <mergeCell ref="B137:H137"/>
    <mergeCell ref="B138:H138"/>
    <mergeCell ref="B139:H139"/>
    <mergeCell ref="A131:H131"/>
    <mergeCell ref="B132:F132"/>
    <mergeCell ref="G132:H132"/>
    <mergeCell ref="A133:I133"/>
    <mergeCell ref="A134:C134"/>
    <mergeCell ref="F134:G134"/>
  </mergeCells>
  <pageMargins left="0.6692913385826772" right="0.19685039370078741" top="0.78740157480314965" bottom="0.6692913385826772" header="0.11811023622047245" footer="0.11811023622047245"/>
  <pageSetup paperSize="9" scale="75" firstPageNumber="0" fitToHeight="0" orientation="portrait" r:id="rId1"/>
  <headerFooter alignWithMargins="0">
    <oddHeader>&amp;R&amp;G</oddHeader>
    <oddFooter>&amp;L&amp;G</oddFooter>
  </headerFooter>
  <rowBreaks count="1" manualBreakCount="1">
    <brk id="70" max="8" man="1"/>
  </row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141"/>
  <sheetViews>
    <sheetView view="pageBreakPreview" topLeftCell="D7" zoomScaleNormal="100" zoomScaleSheetLayoutView="100" workbookViewId="0">
      <selection activeCell="G95" sqref="G95"/>
    </sheetView>
  </sheetViews>
  <sheetFormatPr defaultRowHeight="15" x14ac:dyDescent="0.25"/>
  <cols>
    <col min="1" max="1" width="5.5703125" style="1" customWidth="1"/>
    <col min="2" max="3" width="19.42578125" style="1" customWidth="1"/>
    <col min="4" max="4" width="16.42578125" style="1" customWidth="1"/>
    <col min="5" max="5" width="12.42578125" style="1" customWidth="1"/>
    <col min="6" max="6" width="9.140625" style="1" customWidth="1"/>
    <col min="7" max="7" width="7.5703125" style="1" customWidth="1"/>
    <col min="8" max="8" width="12" style="1" customWidth="1"/>
    <col min="9" max="9" width="20.7109375" style="1" customWidth="1"/>
    <col min="10" max="10" width="2.5703125" style="1" customWidth="1"/>
    <col min="11" max="11" width="13" style="3" customWidth="1"/>
    <col min="12" max="12" width="12.5703125" style="3" customWidth="1"/>
    <col min="13" max="13" width="10.28515625" style="3" customWidth="1"/>
    <col min="14" max="16" width="8.7109375" style="3" customWidth="1"/>
    <col min="17" max="1025" width="8.7109375" style="1" customWidth="1"/>
    <col min="1026" max="16384" width="9.140625" style="1"/>
  </cols>
  <sheetData>
    <row r="1" spans="1:10" ht="15.75" x14ac:dyDescent="0.25">
      <c r="A1" s="302" t="s">
        <v>212</v>
      </c>
      <c r="B1" s="302"/>
      <c r="C1" s="302"/>
      <c r="D1" s="302"/>
      <c r="E1" s="302"/>
      <c r="F1" s="302"/>
      <c r="G1" s="302"/>
      <c r="H1" s="302"/>
      <c r="I1" s="302"/>
      <c r="J1" s="126"/>
    </row>
    <row r="2" spans="1:10" ht="15.75" x14ac:dyDescent="0.25">
      <c r="A2" s="302" t="s">
        <v>213</v>
      </c>
      <c r="B2" s="302"/>
      <c r="C2" s="302"/>
      <c r="D2" s="302"/>
      <c r="E2" s="302"/>
      <c r="F2" s="302"/>
      <c r="G2" s="302"/>
      <c r="H2" s="302"/>
      <c r="I2" s="302"/>
      <c r="J2" s="126"/>
    </row>
    <row r="3" spans="1:10" ht="15.75" x14ac:dyDescent="0.25">
      <c r="A3" s="302" t="s">
        <v>215</v>
      </c>
      <c r="B3" s="302"/>
      <c r="C3" s="302"/>
      <c r="D3" s="302"/>
      <c r="E3" s="302"/>
      <c r="F3" s="302"/>
      <c r="G3" s="302"/>
      <c r="H3" s="302"/>
      <c r="I3" s="302"/>
      <c r="J3" s="126"/>
    </row>
    <row r="4" spans="1:10" ht="15.75" x14ac:dyDescent="0.25">
      <c r="A4" s="302" t="s">
        <v>214</v>
      </c>
      <c r="B4" s="302"/>
      <c r="C4" s="302"/>
      <c r="D4" s="302"/>
      <c r="E4" s="302"/>
      <c r="F4" s="302"/>
      <c r="G4" s="302"/>
      <c r="H4" s="302"/>
      <c r="I4" s="302"/>
      <c r="J4" s="126"/>
    </row>
    <row r="5" spans="1:10" ht="15.75" x14ac:dyDescent="0.25">
      <c r="A5" s="396" t="s">
        <v>323</v>
      </c>
      <c r="B5" s="396"/>
      <c r="C5" s="396"/>
      <c r="D5" s="396"/>
      <c r="E5" s="396"/>
      <c r="F5" s="396"/>
      <c r="G5" s="396"/>
      <c r="H5" s="396"/>
      <c r="I5" s="396"/>
      <c r="J5" s="126"/>
    </row>
    <row r="6" spans="1:10" x14ac:dyDescent="0.25">
      <c r="A6" s="385"/>
      <c r="B6" s="385"/>
      <c r="C6" s="385"/>
      <c r="D6" s="385"/>
      <c r="E6" s="385"/>
      <c r="F6" s="385"/>
      <c r="G6" s="385"/>
      <c r="H6" s="385"/>
      <c r="I6" s="385"/>
      <c r="J6" s="139"/>
    </row>
    <row r="7" spans="1:10" ht="18.75" x14ac:dyDescent="0.25">
      <c r="A7" s="390" t="s">
        <v>0</v>
      </c>
      <c r="B7" s="390"/>
      <c r="C7" s="390"/>
      <c r="D7" s="390"/>
      <c r="E7" s="390"/>
      <c r="F7" s="390"/>
      <c r="G7" s="390"/>
      <c r="H7" s="390"/>
      <c r="I7" s="390"/>
      <c r="J7" s="140"/>
    </row>
    <row r="8" spans="1:10" x14ac:dyDescent="0.25">
      <c r="A8" s="385"/>
      <c r="B8" s="385"/>
      <c r="C8" s="385"/>
      <c r="D8" s="385"/>
      <c r="E8" s="385"/>
      <c r="F8" s="385"/>
      <c r="G8" s="385"/>
      <c r="H8" s="385"/>
      <c r="I8" s="385"/>
      <c r="J8" s="139"/>
    </row>
    <row r="9" spans="1:10" x14ac:dyDescent="0.25">
      <c r="A9" s="391" t="s">
        <v>266</v>
      </c>
      <c r="B9" s="391"/>
      <c r="C9" s="391"/>
      <c r="D9" s="391"/>
      <c r="E9" s="391"/>
      <c r="F9" s="391"/>
      <c r="G9" s="391"/>
      <c r="H9" s="391"/>
      <c r="I9" s="391"/>
      <c r="J9" s="37"/>
    </row>
    <row r="10" spans="1:10" ht="21.75" customHeight="1" thickBot="1" x14ac:dyDescent="0.3">
      <c r="A10" s="392" t="s">
        <v>0</v>
      </c>
      <c r="B10" s="392"/>
      <c r="C10" s="392"/>
      <c r="D10" s="392"/>
      <c r="E10" s="392"/>
      <c r="F10" s="392"/>
      <c r="G10" s="392"/>
      <c r="H10" s="392"/>
      <c r="I10" s="392"/>
      <c r="J10" s="44"/>
    </row>
    <row r="11" spans="1:10" ht="13.5" customHeight="1" x14ac:dyDescent="0.25">
      <c r="A11" s="393" t="s">
        <v>1</v>
      </c>
      <c r="B11" s="393"/>
      <c r="C11" s="393"/>
      <c r="D11" s="393"/>
      <c r="E11" s="393"/>
      <c r="F11" s="393"/>
      <c r="G11" s="393"/>
      <c r="H11" s="393"/>
      <c r="I11" s="393"/>
      <c r="J11" s="45"/>
    </row>
    <row r="12" spans="1:10" ht="13.5" customHeight="1" x14ac:dyDescent="0.25">
      <c r="A12" s="137" t="s">
        <v>2</v>
      </c>
      <c r="B12" s="349" t="s">
        <v>3</v>
      </c>
      <c r="C12" s="349"/>
      <c r="D12" s="349"/>
      <c r="E12" s="394">
        <f>MARCEN!E12</f>
        <v>45065</v>
      </c>
      <c r="F12" s="395"/>
      <c r="G12" s="395"/>
      <c r="H12" s="395"/>
      <c r="I12" s="395"/>
      <c r="J12" s="46"/>
    </row>
    <row r="13" spans="1:10" ht="13.5" customHeight="1" x14ac:dyDescent="0.25">
      <c r="A13" s="137" t="s">
        <v>4</v>
      </c>
      <c r="B13" s="387" t="s">
        <v>5</v>
      </c>
      <c r="C13" s="387"/>
      <c r="D13" s="387"/>
      <c r="E13" s="397" t="str">
        <f>MARCEN!E13</f>
        <v>Picos/PI</v>
      </c>
      <c r="F13" s="398"/>
      <c r="G13" s="398"/>
      <c r="H13" s="398"/>
      <c r="I13" s="398"/>
      <c r="J13" s="47"/>
    </row>
    <row r="14" spans="1:10" ht="13.5" customHeight="1" x14ac:dyDescent="0.25">
      <c r="A14" s="137" t="s">
        <v>6</v>
      </c>
      <c r="B14" s="387" t="s">
        <v>7</v>
      </c>
      <c r="C14" s="387"/>
      <c r="D14" s="387"/>
      <c r="E14" s="397" t="str">
        <f>MARCEN!E14</f>
        <v>PI000066/2023</v>
      </c>
      <c r="F14" s="398"/>
      <c r="G14" s="398"/>
      <c r="H14" s="398"/>
      <c r="I14" s="398"/>
      <c r="J14" s="48"/>
    </row>
    <row r="15" spans="1:10" ht="13.5" customHeight="1" x14ac:dyDescent="0.25">
      <c r="A15" s="137" t="s">
        <v>8</v>
      </c>
      <c r="B15" s="349" t="s">
        <v>9</v>
      </c>
      <c r="C15" s="349"/>
      <c r="D15" s="349"/>
      <c r="E15" s="342" t="s">
        <v>194</v>
      </c>
      <c r="F15" s="342"/>
      <c r="G15" s="342"/>
      <c r="H15" s="342"/>
      <c r="I15" s="342"/>
      <c r="J15" s="147"/>
    </row>
    <row r="16" spans="1:10" x14ac:dyDescent="0.25">
      <c r="A16" s="385"/>
      <c r="B16" s="385"/>
      <c r="C16" s="385"/>
      <c r="D16" s="385"/>
      <c r="E16" s="385"/>
      <c r="F16" s="385"/>
      <c r="G16" s="385"/>
      <c r="H16" s="385"/>
      <c r="I16" s="385"/>
      <c r="J16" s="139"/>
    </row>
    <row r="17" spans="1:16" ht="26.25" customHeight="1" x14ac:dyDescent="0.25">
      <c r="A17" s="335" t="s">
        <v>10</v>
      </c>
      <c r="B17" s="335"/>
      <c r="C17" s="335"/>
      <c r="D17" s="335"/>
      <c r="E17" s="335"/>
      <c r="F17" s="335" t="s">
        <v>11</v>
      </c>
      <c r="G17" s="335"/>
      <c r="H17" s="356" t="s">
        <v>207</v>
      </c>
      <c r="I17" s="356"/>
      <c r="J17" s="49"/>
      <c r="O17" s="30"/>
    </row>
    <row r="18" spans="1:16" x14ac:dyDescent="0.25">
      <c r="A18" s="342" t="str">
        <f>A9</f>
        <v>ALMOXARIFE</v>
      </c>
      <c r="B18" s="342"/>
      <c r="C18" s="342"/>
      <c r="D18" s="342"/>
      <c r="E18" s="342"/>
      <c r="F18" s="342" t="s">
        <v>257</v>
      </c>
      <c r="G18" s="342"/>
      <c r="H18" s="401">
        <v>0</v>
      </c>
      <c r="I18" s="401"/>
      <c r="J18" s="50"/>
    </row>
    <row r="19" spans="1:16" x14ac:dyDescent="0.25">
      <c r="A19" s="356" t="s">
        <v>124</v>
      </c>
      <c r="B19" s="356"/>
      <c r="C19" s="356"/>
      <c r="D19" s="356"/>
      <c r="E19" s="356"/>
      <c r="F19" s="356"/>
      <c r="G19" s="356"/>
      <c r="H19" s="356"/>
      <c r="I19" s="356"/>
      <c r="J19" s="49"/>
    </row>
    <row r="20" spans="1:16" x14ac:dyDescent="0.25">
      <c r="A20" s="137">
        <v>1</v>
      </c>
      <c r="B20" s="349" t="s">
        <v>12</v>
      </c>
      <c r="C20" s="349"/>
      <c r="D20" s="349"/>
      <c r="E20" s="349"/>
      <c r="F20" s="349"/>
      <c r="G20" s="349"/>
      <c r="H20" s="379" t="s">
        <v>251</v>
      </c>
      <c r="I20" s="379"/>
      <c r="J20" s="147"/>
    </row>
    <row r="21" spans="1:16" x14ac:dyDescent="0.25">
      <c r="A21" s="137">
        <v>2</v>
      </c>
      <c r="B21" s="339" t="s">
        <v>216</v>
      </c>
      <c r="C21" s="340"/>
      <c r="D21" s="340"/>
      <c r="E21" s="340"/>
      <c r="F21" s="340"/>
      <c r="G21" s="380"/>
      <c r="H21" s="381" t="s">
        <v>267</v>
      </c>
      <c r="I21" s="382"/>
      <c r="J21" s="147"/>
    </row>
    <row r="22" spans="1:16" s="21" customFormat="1" ht="12.75" x14ac:dyDescent="0.2">
      <c r="A22" s="204">
        <v>3</v>
      </c>
      <c r="B22" s="383" t="s">
        <v>13</v>
      </c>
      <c r="C22" s="383"/>
      <c r="D22" s="383"/>
      <c r="E22" s="383"/>
      <c r="F22" s="383"/>
      <c r="G22" s="383"/>
      <c r="H22" s="384">
        <v>1544.42</v>
      </c>
      <c r="I22" s="384"/>
      <c r="J22" s="51"/>
    </row>
    <row r="23" spans="1:16" x14ac:dyDescent="0.25">
      <c r="A23" s="137">
        <v>4</v>
      </c>
      <c r="B23" s="349" t="s">
        <v>14</v>
      </c>
      <c r="C23" s="349"/>
      <c r="D23" s="349"/>
      <c r="E23" s="349"/>
      <c r="F23" s="349"/>
      <c r="G23" s="349"/>
      <c r="H23" s="374" t="str">
        <f>A9</f>
        <v>ALMOXARIFE</v>
      </c>
      <c r="I23" s="374"/>
      <c r="J23" s="52"/>
      <c r="N23" s="4"/>
    </row>
    <row r="24" spans="1:16" x14ac:dyDescent="0.25">
      <c r="A24" s="137">
        <v>5</v>
      </c>
      <c r="B24" s="375" t="s">
        <v>15</v>
      </c>
      <c r="C24" s="375"/>
      <c r="D24" s="375"/>
      <c r="E24" s="375"/>
      <c r="F24" s="375"/>
      <c r="G24" s="375"/>
      <c r="H24" s="376">
        <v>44927</v>
      </c>
      <c r="I24" s="377"/>
      <c r="J24" s="53"/>
    </row>
    <row r="25" spans="1:16" x14ac:dyDescent="0.25">
      <c r="A25" s="378"/>
      <c r="B25" s="378"/>
      <c r="C25" s="378"/>
      <c r="D25" s="378"/>
      <c r="E25" s="378"/>
      <c r="F25" s="378"/>
      <c r="G25" s="378"/>
      <c r="H25" s="378"/>
      <c r="I25" s="378"/>
      <c r="J25" s="147"/>
    </row>
    <row r="26" spans="1:16" ht="13.5" customHeight="1" x14ac:dyDescent="0.25">
      <c r="A26" s="347" t="s">
        <v>16</v>
      </c>
      <c r="B26" s="347"/>
      <c r="C26" s="347"/>
      <c r="D26" s="347"/>
      <c r="E26" s="347"/>
      <c r="F26" s="347"/>
      <c r="G26" s="347"/>
      <c r="H26" s="347"/>
      <c r="I26" s="347"/>
      <c r="J26" s="54"/>
    </row>
    <row r="27" spans="1:16" ht="13.5" customHeight="1" x14ac:dyDescent="0.25">
      <c r="A27" s="142">
        <v>1</v>
      </c>
      <c r="B27" s="335" t="s">
        <v>17</v>
      </c>
      <c r="C27" s="335"/>
      <c r="D27" s="335"/>
      <c r="E27" s="335"/>
      <c r="F27" s="335"/>
      <c r="G27" s="335" t="s">
        <v>18</v>
      </c>
      <c r="H27" s="335"/>
      <c r="I27" s="142" t="s">
        <v>19</v>
      </c>
      <c r="J27" s="55"/>
    </row>
    <row r="28" spans="1:16" s="223" customFormat="1" ht="13.5" customHeight="1" x14ac:dyDescent="0.25">
      <c r="A28" s="219" t="s">
        <v>2</v>
      </c>
      <c r="B28" s="372" t="s">
        <v>20</v>
      </c>
      <c r="C28" s="372"/>
      <c r="D28" s="372"/>
      <c r="E28" s="372"/>
      <c r="F28" s="372"/>
      <c r="G28" s="373">
        <v>1</v>
      </c>
      <c r="H28" s="373"/>
      <c r="I28" s="220">
        <f>H22</f>
        <v>1544.42</v>
      </c>
      <c r="J28" s="221"/>
      <c r="K28" s="222"/>
      <c r="L28" s="222"/>
      <c r="M28" s="222"/>
      <c r="N28" s="222"/>
      <c r="O28" s="222"/>
      <c r="P28" s="222"/>
    </row>
    <row r="29" spans="1:16" ht="13.5" customHeight="1" x14ac:dyDescent="0.25">
      <c r="A29" s="137" t="s">
        <v>4</v>
      </c>
      <c r="B29" s="357" t="s">
        <v>21</v>
      </c>
      <c r="C29" s="357"/>
      <c r="D29" s="357"/>
      <c r="E29" s="357"/>
      <c r="F29" s="357"/>
      <c r="G29" s="370">
        <v>0</v>
      </c>
      <c r="H29" s="370"/>
      <c r="I29" s="58">
        <f>(I28*G29)</f>
        <v>0</v>
      </c>
      <c r="J29" s="59"/>
    </row>
    <row r="30" spans="1:16" ht="13.5" customHeight="1" x14ac:dyDescent="0.25">
      <c r="A30" s="137" t="s">
        <v>6</v>
      </c>
      <c r="B30" s="357" t="s">
        <v>22</v>
      </c>
      <c r="C30" s="357"/>
      <c r="D30" s="357"/>
      <c r="E30" s="357"/>
      <c r="F30" s="357"/>
      <c r="G30" s="370">
        <v>0</v>
      </c>
      <c r="H30" s="370"/>
      <c r="I30" s="56">
        <f>(I28*G30)</f>
        <v>0</v>
      </c>
      <c r="J30" s="57"/>
    </row>
    <row r="31" spans="1:16" ht="13.5" customHeight="1" x14ac:dyDescent="0.25">
      <c r="A31" s="137" t="s">
        <v>8</v>
      </c>
      <c r="B31" s="357" t="s">
        <v>23</v>
      </c>
      <c r="C31" s="357"/>
      <c r="D31" s="357"/>
      <c r="E31" s="357"/>
      <c r="F31" s="357"/>
      <c r="G31" s="370">
        <v>0</v>
      </c>
      <c r="H31" s="370"/>
      <c r="I31" s="56">
        <v>0</v>
      </c>
      <c r="J31" s="57"/>
    </row>
    <row r="32" spans="1:16" ht="13.5" customHeight="1" x14ac:dyDescent="0.25">
      <c r="A32" s="137" t="s">
        <v>24</v>
      </c>
      <c r="B32" s="357" t="s">
        <v>25</v>
      </c>
      <c r="C32" s="357"/>
      <c r="D32" s="357"/>
      <c r="E32" s="357"/>
      <c r="F32" s="357"/>
      <c r="G32" s="370">
        <v>0</v>
      </c>
      <c r="H32" s="370"/>
      <c r="I32" s="56">
        <v>0</v>
      </c>
      <c r="J32" s="57"/>
    </row>
    <row r="33" spans="1:16" ht="13.5" customHeight="1" x14ac:dyDescent="0.25">
      <c r="A33" s="137" t="s">
        <v>26</v>
      </c>
      <c r="B33" s="357" t="s">
        <v>27</v>
      </c>
      <c r="C33" s="357"/>
      <c r="D33" s="357"/>
      <c r="E33" s="357"/>
      <c r="F33" s="357"/>
      <c r="G33" s="370">
        <v>0</v>
      </c>
      <c r="H33" s="370"/>
      <c r="I33" s="56">
        <v>0</v>
      </c>
      <c r="J33" s="57"/>
    </row>
    <row r="34" spans="1:16" ht="13.5" customHeight="1" x14ac:dyDescent="0.25">
      <c r="A34" s="137" t="s">
        <v>28</v>
      </c>
      <c r="B34" s="349" t="s">
        <v>29</v>
      </c>
      <c r="C34" s="349"/>
      <c r="D34" s="349"/>
      <c r="E34" s="349"/>
      <c r="F34" s="349"/>
      <c r="G34" s="370">
        <v>0</v>
      </c>
      <c r="H34" s="370"/>
      <c r="I34" s="56">
        <v>0</v>
      </c>
      <c r="J34" s="57"/>
    </row>
    <row r="35" spans="1:16" ht="13.5" customHeight="1" x14ac:dyDescent="0.25">
      <c r="A35" s="335" t="s">
        <v>30</v>
      </c>
      <c r="B35" s="335"/>
      <c r="C35" s="335"/>
      <c r="D35" s="335"/>
      <c r="E35" s="335"/>
      <c r="F35" s="335"/>
      <c r="G35" s="335"/>
      <c r="H35" s="335"/>
      <c r="I35" s="60">
        <f>SUM(I28:I34)</f>
        <v>1544.42</v>
      </c>
      <c r="J35" s="61"/>
    </row>
    <row r="36" spans="1:16" x14ac:dyDescent="0.25">
      <c r="A36" s="371"/>
      <c r="B36" s="371"/>
      <c r="C36" s="371"/>
      <c r="D36" s="371"/>
      <c r="E36" s="371"/>
      <c r="F36" s="371"/>
      <c r="G36" s="371"/>
      <c r="H36" s="371"/>
      <c r="I36" s="371"/>
      <c r="J36" s="149"/>
    </row>
    <row r="37" spans="1:16" ht="13.5" customHeight="1" x14ac:dyDescent="0.25">
      <c r="A37" s="347" t="s">
        <v>127</v>
      </c>
      <c r="B37" s="347"/>
      <c r="C37" s="347"/>
      <c r="D37" s="347"/>
      <c r="E37" s="347"/>
      <c r="F37" s="347"/>
      <c r="G37" s="347"/>
      <c r="H37" s="347"/>
      <c r="I37" s="347"/>
      <c r="J37" s="54"/>
    </row>
    <row r="38" spans="1:16" ht="13.5" customHeight="1" x14ac:dyDescent="0.25">
      <c r="A38" s="142" t="s">
        <v>31</v>
      </c>
      <c r="B38" s="359" t="s">
        <v>32</v>
      </c>
      <c r="C38" s="359"/>
      <c r="D38" s="359"/>
      <c r="E38" s="359"/>
      <c r="F38" s="359"/>
      <c r="G38" s="359"/>
      <c r="H38" s="142" t="s">
        <v>18</v>
      </c>
      <c r="I38" s="142" t="s">
        <v>19</v>
      </c>
      <c r="J38" s="55"/>
    </row>
    <row r="39" spans="1:16" ht="13.5" customHeight="1" x14ac:dyDescent="0.25">
      <c r="A39" s="137" t="s">
        <v>2</v>
      </c>
      <c r="B39" s="358" t="s">
        <v>33</v>
      </c>
      <c r="C39" s="358"/>
      <c r="D39" s="358"/>
      <c r="E39" s="358"/>
      <c r="F39" s="358"/>
      <c r="G39" s="358"/>
      <c r="H39" s="148">
        <f>(1/12)*1</f>
        <v>8.3333333333333329E-2</v>
      </c>
      <c r="I39" s="56">
        <f>$I$35*H39</f>
        <v>128.70166666666665</v>
      </c>
      <c r="J39" s="57"/>
    </row>
    <row r="40" spans="1:16" ht="13.5" customHeight="1" x14ac:dyDescent="0.25">
      <c r="A40" s="137" t="s">
        <v>4</v>
      </c>
      <c r="B40" s="358" t="s">
        <v>34</v>
      </c>
      <c r="C40" s="358"/>
      <c r="D40" s="358"/>
      <c r="E40" s="358"/>
      <c r="F40" s="358"/>
      <c r="G40" s="358"/>
      <c r="H40" s="148">
        <f>((1+1/3)/12)*1</f>
        <v>0.1111111111111111</v>
      </c>
      <c r="I40" s="56">
        <f>$I$35*H40</f>
        <v>171.60222222222222</v>
      </c>
      <c r="J40" s="57"/>
    </row>
    <row r="41" spans="1:16" ht="13.5" customHeight="1" x14ac:dyDescent="0.25">
      <c r="A41" s="62"/>
      <c r="B41" s="335" t="s">
        <v>35</v>
      </c>
      <c r="C41" s="335"/>
      <c r="D41" s="335"/>
      <c r="E41" s="335"/>
      <c r="F41" s="335"/>
      <c r="G41" s="335"/>
      <c r="H41" s="63">
        <f>SUM(H39:H40)</f>
        <v>0.19444444444444442</v>
      </c>
      <c r="I41" s="64">
        <f>SUM(I39:I40)</f>
        <v>300.30388888888888</v>
      </c>
      <c r="J41" s="65"/>
      <c r="K41" s="31">
        <f>H52*H41</f>
        <v>6.9766666666666671E-2</v>
      </c>
    </row>
    <row r="42" spans="1:16" ht="9.75" customHeight="1" x14ac:dyDescent="0.25">
      <c r="A42" s="141"/>
      <c r="B42" s="141"/>
      <c r="C42" s="141"/>
      <c r="D42" s="141"/>
      <c r="E42" s="141"/>
      <c r="F42" s="141"/>
      <c r="G42" s="141"/>
      <c r="H42" s="141"/>
      <c r="I42" s="66"/>
      <c r="J42" s="66"/>
    </row>
    <row r="43" spans="1:16" ht="13.5" customHeight="1" x14ac:dyDescent="0.25">
      <c r="A43" s="142" t="s">
        <v>36</v>
      </c>
      <c r="B43" s="359" t="s">
        <v>37</v>
      </c>
      <c r="C43" s="359"/>
      <c r="D43" s="359"/>
      <c r="E43" s="359"/>
      <c r="F43" s="359"/>
      <c r="G43" s="359"/>
      <c r="H43" s="142" t="s">
        <v>18</v>
      </c>
      <c r="I43" s="142" t="s">
        <v>19</v>
      </c>
      <c r="J43" s="55"/>
    </row>
    <row r="44" spans="1:16" ht="13.5" customHeight="1" x14ac:dyDescent="0.25">
      <c r="A44" s="137" t="s">
        <v>2</v>
      </c>
      <c r="B44" s="358" t="s">
        <v>38</v>
      </c>
      <c r="C44" s="358"/>
      <c r="D44" s="358"/>
      <c r="E44" s="358"/>
      <c r="F44" s="358"/>
      <c r="G44" s="358"/>
      <c r="H44" s="128">
        <v>0.2</v>
      </c>
      <c r="I44" s="56">
        <f>SUM($I$35,$I$41)*H44</f>
        <v>368.9447777777778</v>
      </c>
      <c r="J44" s="57"/>
    </row>
    <row r="45" spans="1:16" ht="13.5" customHeight="1" x14ac:dyDescent="0.25">
      <c r="A45" s="137" t="s">
        <v>4</v>
      </c>
      <c r="B45" s="358" t="s">
        <v>39</v>
      </c>
      <c r="C45" s="358"/>
      <c r="D45" s="358"/>
      <c r="E45" s="358"/>
      <c r="F45" s="358"/>
      <c r="G45" s="358"/>
      <c r="H45" s="67">
        <v>2.5000000000000001E-2</v>
      </c>
      <c r="I45" s="56">
        <f t="shared" ref="I45:I51" si="0">SUM($I$35,$I$41)*H45</f>
        <v>46.118097222222225</v>
      </c>
      <c r="J45" s="57"/>
    </row>
    <row r="46" spans="1:16" s="83" customFormat="1" ht="13.5" customHeight="1" x14ac:dyDescent="0.25">
      <c r="A46" s="205" t="s">
        <v>6</v>
      </c>
      <c r="B46" s="364" t="s">
        <v>40</v>
      </c>
      <c r="C46" s="364"/>
      <c r="D46" s="364"/>
      <c r="E46" s="364"/>
      <c r="F46" s="364"/>
      <c r="G46" s="364"/>
      <c r="H46" s="207">
        <v>2.0799999999999999E-2</v>
      </c>
      <c r="I46" s="81">
        <f t="shared" si="0"/>
        <v>38.370256888888889</v>
      </c>
      <c r="J46" s="82"/>
      <c r="K46" s="21"/>
      <c r="L46" s="21"/>
      <c r="M46" s="21"/>
      <c r="N46" s="21"/>
      <c r="O46" s="21"/>
      <c r="P46" s="21"/>
    </row>
    <row r="47" spans="1:16" ht="13.5" customHeight="1" x14ac:dyDescent="0.25">
      <c r="A47" s="137" t="s">
        <v>8</v>
      </c>
      <c r="B47" s="358" t="s">
        <v>41</v>
      </c>
      <c r="C47" s="358"/>
      <c r="D47" s="358"/>
      <c r="E47" s="358"/>
      <c r="F47" s="358"/>
      <c r="G47" s="358"/>
      <c r="H47" s="68">
        <v>1.4999999999999999E-2</v>
      </c>
      <c r="I47" s="56">
        <f t="shared" si="0"/>
        <v>27.670858333333332</v>
      </c>
      <c r="J47" s="57"/>
    </row>
    <row r="48" spans="1:16" ht="13.5" customHeight="1" x14ac:dyDescent="0.25">
      <c r="A48" s="137" t="s">
        <v>24</v>
      </c>
      <c r="B48" s="358" t="s">
        <v>42</v>
      </c>
      <c r="C48" s="358"/>
      <c r="D48" s="358"/>
      <c r="E48" s="358"/>
      <c r="F48" s="358"/>
      <c r="G48" s="358"/>
      <c r="H48" s="68">
        <v>0.01</v>
      </c>
      <c r="I48" s="56">
        <f t="shared" si="0"/>
        <v>18.44723888888889</v>
      </c>
      <c r="J48" s="57"/>
    </row>
    <row r="49" spans="1:16" ht="13.5" customHeight="1" x14ac:dyDescent="0.25">
      <c r="A49" s="137" t="s">
        <v>26</v>
      </c>
      <c r="B49" s="358" t="s">
        <v>43</v>
      </c>
      <c r="C49" s="358"/>
      <c r="D49" s="358"/>
      <c r="E49" s="358"/>
      <c r="F49" s="358"/>
      <c r="G49" s="358"/>
      <c r="H49" s="68">
        <v>6.0000000000000001E-3</v>
      </c>
      <c r="I49" s="56">
        <f t="shared" si="0"/>
        <v>11.068343333333335</v>
      </c>
      <c r="J49" s="57"/>
    </row>
    <row r="50" spans="1:16" ht="13.5" customHeight="1" x14ac:dyDescent="0.25">
      <c r="A50" s="137" t="s">
        <v>28</v>
      </c>
      <c r="B50" s="358" t="s">
        <v>44</v>
      </c>
      <c r="C50" s="358"/>
      <c r="D50" s="358"/>
      <c r="E50" s="358"/>
      <c r="F50" s="358"/>
      <c r="G50" s="358"/>
      <c r="H50" s="68">
        <v>2E-3</v>
      </c>
      <c r="I50" s="56">
        <f t="shared" si="0"/>
        <v>3.6894477777777781</v>
      </c>
      <c r="J50" s="57"/>
    </row>
    <row r="51" spans="1:16" ht="13.5" customHeight="1" x14ac:dyDescent="0.25">
      <c r="A51" s="137" t="s">
        <v>45</v>
      </c>
      <c r="B51" s="358" t="s">
        <v>46</v>
      </c>
      <c r="C51" s="358"/>
      <c r="D51" s="358"/>
      <c r="E51" s="358"/>
      <c r="F51" s="358"/>
      <c r="G51" s="358"/>
      <c r="H51" s="68">
        <v>0.08</v>
      </c>
      <c r="I51" s="56">
        <f t="shared" si="0"/>
        <v>147.57791111111112</v>
      </c>
      <c r="J51" s="57"/>
    </row>
    <row r="52" spans="1:16" ht="13.5" customHeight="1" x14ac:dyDescent="0.25">
      <c r="A52" s="336" t="s">
        <v>47</v>
      </c>
      <c r="B52" s="337"/>
      <c r="C52" s="337"/>
      <c r="D52" s="337"/>
      <c r="E52" s="337"/>
      <c r="F52" s="337"/>
      <c r="G52" s="338"/>
      <c r="H52" s="63">
        <f>SUM(H44:H51)</f>
        <v>0.35880000000000006</v>
      </c>
      <c r="I52" s="69">
        <f>SUM(I44:I51)</f>
        <v>661.88693133333334</v>
      </c>
      <c r="J52" s="70"/>
    </row>
    <row r="53" spans="1:16" ht="10.5" customHeight="1" x14ac:dyDescent="0.25">
      <c r="A53" s="141"/>
      <c r="B53" s="141"/>
      <c r="C53" s="141"/>
      <c r="D53" s="141"/>
      <c r="E53" s="141"/>
      <c r="F53" s="141"/>
      <c r="G53" s="141"/>
      <c r="H53" s="141"/>
      <c r="I53" s="71"/>
      <c r="J53" s="71"/>
    </row>
    <row r="54" spans="1:16" ht="13.5" customHeight="1" x14ac:dyDescent="0.25">
      <c r="A54" s="142" t="s">
        <v>48</v>
      </c>
      <c r="B54" s="359" t="s">
        <v>49</v>
      </c>
      <c r="C54" s="359"/>
      <c r="D54" s="359"/>
      <c r="E54" s="359"/>
      <c r="F54" s="359"/>
      <c r="G54" s="359"/>
      <c r="H54" s="142" t="s">
        <v>50</v>
      </c>
      <c r="I54" s="142" t="s">
        <v>19</v>
      </c>
      <c r="J54" s="55"/>
    </row>
    <row r="55" spans="1:16" s="223" customFormat="1" ht="13.5" customHeight="1" x14ac:dyDescent="0.25">
      <c r="A55" s="219" t="s">
        <v>2</v>
      </c>
      <c r="B55" s="367" t="s">
        <v>324</v>
      </c>
      <c r="C55" s="367"/>
      <c r="D55" s="367"/>
      <c r="E55" s="367"/>
      <c r="F55" s="367"/>
      <c r="G55" s="367"/>
      <c r="H55" s="225">
        <v>5</v>
      </c>
      <c r="I55" s="226">
        <f>(H55*2*22)-(I28*6%)</f>
        <v>127.3348</v>
      </c>
      <c r="J55" s="227"/>
      <c r="K55" s="224"/>
      <c r="L55" s="222"/>
      <c r="M55" s="222"/>
      <c r="N55" s="222"/>
      <c r="O55" s="222"/>
      <c r="P55" s="222"/>
    </row>
    <row r="56" spans="1:16" s="223" customFormat="1" ht="13.5" customHeight="1" x14ac:dyDescent="0.25">
      <c r="A56" s="219" t="s">
        <v>4</v>
      </c>
      <c r="B56" s="367" t="s">
        <v>322</v>
      </c>
      <c r="C56" s="367"/>
      <c r="D56" s="367"/>
      <c r="E56" s="367"/>
      <c r="F56" s="367"/>
      <c r="G56" s="367"/>
      <c r="H56" s="225">
        <v>412.05</v>
      </c>
      <c r="I56" s="220">
        <f>H56</f>
        <v>412.05</v>
      </c>
      <c r="J56" s="221"/>
      <c r="K56" s="222"/>
      <c r="L56" s="222"/>
      <c r="M56" s="222"/>
      <c r="N56" s="222"/>
      <c r="O56" s="222"/>
      <c r="P56" s="222"/>
    </row>
    <row r="57" spans="1:16" ht="13.5" customHeight="1" x14ac:dyDescent="0.25">
      <c r="A57" s="137" t="s">
        <v>6</v>
      </c>
      <c r="B57" s="369" t="s">
        <v>310</v>
      </c>
      <c r="C57" s="369"/>
      <c r="D57" s="369"/>
      <c r="E57" s="369"/>
      <c r="F57" s="369"/>
      <c r="G57" s="369"/>
      <c r="H57" s="73">
        <v>141.68</v>
      </c>
      <c r="I57" s="177">
        <f>(H57*40%)</f>
        <v>56.672000000000004</v>
      </c>
      <c r="J57" s="57"/>
      <c r="K57" s="166"/>
    </row>
    <row r="58" spans="1:16" ht="13.5" customHeight="1" x14ac:dyDescent="0.25">
      <c r="A58" s="136" t="s">
        <v>8</v>
      </c>
      <c r="B58" s="368" t="s">
        <v>252</v>
      </c>
      <c r="C58" s="368"/>
      <c r="D58" s="368"/>
      <c r="E58" s="368"/>
      <c r="F58" s="368"/>
      <c r="G58" s="368"/>
      <c r="H58" s="73">
        <f>I35</f>
        <v>1544.42</v>
      </c>
      <c r="I58" s="74">
        <f>(H58*26)*0.002/12</f>
        <v>6.6924866666666665</v>
      </c>
      <c r="J58" s="72"/>
    </row>
    <row r="59" spans="1:16" ht="13.5" customHeight="1" x14ac:dyDescent="0.25">
      <c r="A59" s="137" t="s">
        <v>24</v>
      </c>
      <c r="B59" s="358" t="s">
        <v>203</v>
      </c>
      <c r="C59" s="358"/>
      <c r="D59" s="358"/>
      <c r="E59" s="358"/>
      <c r="F59" s="358"/>
      <c r="G59" s="358"/>
      <c r="H59" s="73">
        <v>0</v>
      </c>
      <c r="I59" s="74">
        <f>(H59*6*0.02)/12</f>
        <v>0</v>
      </c>
      <c r="J59" s="72"/>
    </row>
    <row r="60" spans="1:16" ht="13.5" customHeight="1" x14ac:dyDescent="0.25">
      <c r="A60" s="137" t="s">
        <v>26</v>
      </c>
      <c r="B60" s="369" t="s">
        <v>202</v>
      </c>
      <c r="C60" s="369"/>
      <c r="D60" s="369"/>
      <c r="E60" s="369"/>
      <c r="F60" s="369"/>
      <c r="G60" s="369"/>
      <c r="H60" s="75">
        <v>0</v>
      </c>
      <c r="I60" s="76">
        <f>H60</f>
        <v>0</v>
      </c>
      <c r="J60" s="77"/>
    </row>
    <row r="61" spans="1:16" ht="13.5" customHeight="1" x14ac:dyDescent="0.25">
      <c r="A61" s="137" t="s">
        <v>28</v>
      </c>
      <c r="B61" s="358" t="s">
        <v>51</v>
      </c>
      <c r="C61" s="358"/>
      <c r="D61" s="358"/>
      <c r="E61" s="358"/>
      <c r="F61" s="358"/>
      <c r="G61" s="358"/>
      <c r="H61" s="73">
        <v>0</v>
      </c>
      <c r="I61" s="56">
        <f>H61</f>
        <v>0</v>
      </c>
      <c r="J61" s="57"/>
    </row>
    <row r="62" spans="1:16" s="78" customFormat="1" ht="13.5" customHeight="1" x14ac:dyDescent="0.25">
      <c r="A62" s="146" t="s">
        <v>45</v>
      </c>
      <c r="B62" s="369" t="s">
        <v>209</v>
      </c>
      <c r="C62" s="369"/>
      <c r="D62" s="369"/>
      <c r="E62" s="369"/>
      <c r="F62" s="369"/>
      <c r="G62" s="369"/>
      <c r="H62" s="75">
        <v>0</v>
      </c>
      <c r="I62" s="76">
        <f>H62</f>
        <v>0</v>
      </c>
      <c r="J62" s="77"/>
      <c r="K62" s="32"/>
      <c r="L62" s="32"/>
      <c r="M62" s="32"/>
      <c r="N62" s="32"/>
      <c r="O62" s="32"/>
      <c r="P62" s="32"/>
    </row>
    <row r="63" spans="1:16" ht="13.5" customHeight="1" x14ac:dyDescent="0.25">
      <c r="A63" s="336" t="s">
        <v>52</v>
      </c>
      <c r="B63" s="337"/>
      <c r="C63" s="337"/>
      <c r="D63" s="337"/>
      <c r="E63" s="337"/>
      <c r="F63" s="337"/>
      <c r="G63" s="337"/>
      <c r="H63" s="338"/>
      <c r="I63" s="69">
        <f>TRUNC(SUM(I55:I62),2)</f>
        <v>602.74</v>
      </c>
      <c r="J63" s="70"/>
    </row>
    <row r="64" spans="1:16" ht="12" customHeight="1" x14ac:dyDescent="0.25">
      <c r="A64" s="141"/>
      <c r="B64" s="141"/>
      <c r="C64" s="141"/>
      <c r="D64" s="141"/>
      <c r="E64" s="141"/>
      <c r="F64" s="141"/>
      <c r="G64" s="141"/>
      <c r="H64" s="141"/>
      <c r="I64" s="71"/>
      <c r="J64" s="71"/>
    </row>
    <row r="65" spans="1:16" ht="13.5" customHeight="1" x14ac:dyDescent="0.25">
      <c r="A65" s="335" t="s">
        <v>53</v>
      </c>
      <c r="B65" s="335"/>
      <c r="C65" s="335"/>
      <c r="D65" s="335"/>
      <c r="E65" s="335"/>
      <c r="F65" s="335"/>
      <c r="G65" s="335"/>
      <c r="H65" s="335"/>
      <c r="I65" s="335"/>
      <c r="J65" s="55"/>
    </row>
    <row r="66" spans="1:16" ht="13.5" customHeight="1" x14ac:dyDescent="0.25">
      <c r="A66" s="79" t="s">
        <v>31</v>
      </c>
      <c r="B66" s="368" t="s">
        <v>54</v>
      </c>
      <c r="C66" s="368"/>
      <c r="D66" s="368"/>
      <c r="E66" s="368"/>
      <c r="F66" s="368"/>
      <c r="G66" s="368"/>
      <c r="H66" s="368"/>
      <c r="I66" s="56">
        <f>I41</f>
        <v>300.30388888888888</v>
      </c>
      <c r="J66" s="57"/>
    </row>
    <row r="67" spans="1:16" ht="13.5" customHeight="1" x14ac:dyDescent="0.25">
      <c r="A67" s="79" t="s">
        <v>36</v>
      </c>
      <c r="B67" s="358" t="s">
        <v>55</v>
      </c>
      <c r="C67" s="358"/>
      <c r="D67" s="358"/>
      <c r="E67" s="358"/>
      <c r="F67" s="358"/>
      <c r="G67" s="358"/>
      <c r="H67" s="358"/>
      <c r="I67" s="56">
        <f>I52</f>
        <v>661.88693133333334</v>
      </c>
      <c r="J67" s="57"/>
    </row>
    <row r="68" spans="1:16" ht="13.5" customHeight="1" x14ac:dyDescent="0.25">
      <c r="A68" s="79" t="s">
        <v>48</v>
      </c>
      <c r="B68" s="358" t="s">
        <v>56</v>
      </c>
      <c r="C68" s="358"/>
      <c r="D68" s="358"/>
      <c r="E68" s="358"/>
      <c r="F68" s="358"/>
      <c r="G68" s="358"/>
      <c r="H68" s="358"/>
      <c r="I68" s="56">
        <f>I63</f>
        <v>602.74</v>
      </c>
      <c r="J68" s="57"/>
    </row>
    <row r="69" spans="1:16" ht="13.5" customHeight="1" x14ac:dyDescent="0.25">
      <c r="A69" s="335" t="s">
        <v>57</v>
      </c>
      <c r="B69" s="335"/>
      <c r="C69" s="335"/>
      <c r="D69" s="335"/>
      <c r="E69" s="335"/>
      <c r="F69" s="335"/>
      <c r="G69" s="335"/>
      <c r="H69" s="335"/>
      <c r="I69" s="60">
        <f>SUM(I66:I68)</f>
        <v>1564.9308202222223</v>
      </c>
      <c r="J69" s="61"/>
    </row>
    <row r="70" spans="1:16" x14ac:dyDescent="0.25">
      <c r="A70" s="141"/>
      <c r="B70" s="141"/>
      <c r="C70" s="141"/>
      <c r="D70" s="141"/>
      <c r="E70" s="141"/>
      <c r="F70" s="141"/>
      <c r="G70" s="141"/>
      <c r="H70" s="141"/>
      <c r="I70" s="71"/>
      <c r="J70" s="71"/>
    </row>
    <row r="71" spans="1:16" ht="13.5" customHeight="1" x14ac:dyDescent="0.25">
      <c r="A71" s="347" t="s">
        <v>125</v>
      </c>
      <c r="B71" s="347"/>
      <c r="C71" s="347"/>
      <c r="D71" s="347"/>
      <c r="E71" s="347"/>
      <c r="F71" s="347"/>
      <c r="G71" s="347"/>
      <c r="H71" s="347"/>
      <c r="I71" s="347"/>
      <c r="J71" s="54"/>
    </row>
    <row r="72" spans="1:16" ht="13.5" customHeight="1" x14ac:dyDescent="0.25">
      <c r="A72" s="203">
        <v>3</v>
      </c>
      <c r="B72" s="366" t="s">
        <v>58</v>
      </c>
      <c r="C72" s="366"/>
      <c r="D72" s="366"/>
      <c r="E72" s="366"/>
      <c r="F72" s="366"/>
      <c r="G72" s="366"/>
      <c r="H72" s="203" t="s">
        <v>18</v>
      </c>
      <c r="I72" s="203" t="s">
        <v>19</v>
      </c>
      <c r="J72" s="55"/>
    </row>
    <row r="73" spans="1:16" s="249" customFormat="1" ht="13.5" customHeight="1" x14ac:dyDescent="0.25">
      <c r="A73" s="219" t="s">
        <v>2</v>
      </c>
      <c r="B73" s="367" t="s">
        <v>59</v>
      </c>
      <c r="C73" s="367"/>
      <c r="D73" s="367"/>
      <c r="E73" s="367"/>
      <c r="F73" s="367"/>
      <c r="G73" s="367"/>
      <c r="H73" s="250">
        <f>0.05*(1/12)/30*3</f>
        <v>4.1666666666666664E-4</v>
      </c>
      <c r="I73" s="220">
        <f t="shared" ref="I73:I78" si="1">$I$35*H73</f>
        <v>0.64350833333333335</v>
      </c>
      <c r="J73" s="247"/>
      <c r="K73" s="248"/>
      <c r="L73" s="248"/>
      <c r="M73" s="248"/>
      <c r="N73" s="248"/>
      <c r="O73" s="248"/>
      <c r="P73" s="248"/>
    </row>
    <row r="74" spans="1:16" s="83" customFormat="1" ht="13.5" customHeight="1" x14ac:dyDescent="0.25">
      <c r="A74" s="201" t="s">
        <v>4</v>
      </c>
      <c r="B74" s="364" t="s">
        <v>60</v>
      </c>
      <c r="C74" s="364"/>
      <c r="D74" s="364"/>
      <c r="E74" s="364"/>
      <c r="F74" s="364"/>
      <c r="G74" s="364"/>
      <c r="H74" s="84">
        <f>H51*H73</f>
        <v>3.3333333333333335E-5</v>
      </c>
      <c r="I74" s="81">
        <f t="shared" si="1"/>
        <v>5.1480666666666675E-2</v>
      </c>
      <c r="J74" s="82"/>
      <c r="K74" s="21"/>
      <c r="L74" s="21"/>
      <c r="M74" s="21"/>
      <c r="N74" s="21"/>
      <c r="O74" s="21"/>
      <c r="P74" s="21"/>
    </row>
    <row r="75" spans="1:16" s="83" customFormat="1" ht="13.5" customHeight="1" x14ac:dyDescent="0.25">
      <c r="A75" s="201" t="s">
        <v>6</v>
      </c>
      <c r="B75" s="364" t="s">
        <v>61</v>
      </c>
      <c r="C75" s="364"/>
      <c r="D75" s="364"/>
      <c r="E75" s="364"/>
      <c r="F75" s="364"/>
      <c r="G75" s="364"/>
      <c r="H75" s="84">
        <f>40%*H51*5%</f>
        <v>1.6000000000000001E-3</v>
      </c>
      <c r="I75" s="81">
        <f t="shared" si="1"/>
        <v>2.4710720000000004</v>
      </c>
      <c r="J75" s="82"/>
      <c r="K75" s="21"/>
      <c r="L75" s="21"/>
      <c r="M75" s="21"/>
      <c r="N75" s="21"/>
      <c r="O75" s="21"/>
      <c r="P75" s="21"/>
    </row>
    <row r="76" spans="1:16" s="249" customFormat="1" ht="13.5" customHeight="1" x14ac:dyDescent="0.25">
      <c r="A76" s="219" t="s">
        <v>8</v>
      </c>
      <c r="B76" s="367" t="s">
        <v>62</v>
      </c>
      <c r="C76" s="367"/>
      <c r="D76" s="367"/>
      <c r="E76" s="367"/>
      <c r="F76" s="367"/>
      <c r="G76" s="367"/>
      <c r="H76" s="246">
        <f>(1/30)*7/12*100%/30*3</f>
        <v>1.9444444444444444E-3</v>
      </c>
      <c r="I76" s="220">
        <f t="shared" si="1"/>
        <v>3.0030388888888888</v>
      </c>
      <c r="J76" s="247"/>
      <c r="K76" s="248"/>
      <c r="L76" s="248"/>
      <c r="M76" s="248"/>
      <c r="N76" s="248"/>
      <c r="O76" s="248"/>
      <c r="P76" s="248"/>
    </row>
    <row r="77" spans="1:16" s="83" customFormat="1" ht="13.5" customHeight="1" x14ac:dyDescent="0.25">
      <c r="A77" s="201" t="s">
        <v>24</v>
      </c>
      <c r="B77" s="364" t="s">
        <v>63</v>
      </c>
      <c r="C77" s="364"/>
      <c r="D77" s="364"/>
      <c r="E77" s="364"/>
      <c r="F77" s="364"/>
      <c r="G77" s="364"/>
      <c r="H77" s="85">
        <f>H52*H76</f>
        <v>6.9766666666666675E-4</v>
      </c>
      <c r="I77" s="81">
        <f t="shared" si="1"/>
        <v>1.0774903533333335</v>
      </c>
      <c r="J77" s="82"/>
      <c r="K77" s="21"/>
      <c r="L77" s="21"/>
      <c r="M77" s="21"/>
      <c r="N77" s="21"/>
      <c r="O77" s="21"/>
      <c r="P77" s="21"/>
    </row>
    <row r="78" spans="1:16" s="83" customFormat="1" ht="13.5" customHeight="1" x14ac:dyDescent="0.25">
      <c r="A78" s="201" t="s">
        <v>26</v>
      </c>
      <c r="B78" s="364" t="s">
        <v>64</v>
      </c>
      <c r="C78" s="364"/>
      <c r="D78" s="364"/>
      <c r="E78" s="364"/>
      <c r="F78" s="364"/>
      <c r="G78" s="364"/>
      <c r="H78" s="80">
        <f>40%*H51*95%</f>
        <v>3.04E-2</v>
      </c>
      <c r="I78" s="81">
        <f t="shared" si="1"/>
        <v>46.950368000000005</v>
      </c>
      <c r="J78" s="82"/>
      <c r="K78" s="129"/>
      <c r="L78" s="21"/>
      <c r="M78" s="21"/>
      <c r="N78" s="21"/>
      <c r="O78" s="21"/>
      <c r="P78" s="21"/>
    </row>
    <row r="79" spans="1:16" ht="13.5" customHeight="1" x14ac:dyDescent="0.25">
      <c r="A79" s="336" t="s">
        <v>65</v>
      </c>
      <c r="B79" s="337"/>
      <c r="C79" s="337"/>
      <c r="D79" s="337"/>
      <c r="E79" s="337"/>
      <c r="F79" s="337"/>
      <c r="G79" s="338"/>
      <c r="H79" s="63">
        <f>SUM(H73:H78)</f>
        <v>3.5092111111111109E-2</v>
      </c>
      <c r="I79" s="60">
        <f>SUM(I73:I78)</f>
        <v>54.196958242222223</v>
      </c>
      <c r="J79" s="61"/>
    </row>
    <row r="80" spans="1:16" x14ac:dyDescent="0.25">
      <c r="A80" s="141"/>
      <c r="B80" s="365"/>
      <c r="C80" s="365"/>
      <c r="D80" s="365"/>
      <c r="E80" s="365"/>
      <c r="F80" s="365"/>
      <c r="G80" s="365"/>
      <c r="H80" s="365"/>
      <c r="I80" s="144"/>
      <c r="J80" s="144"/>
    </row>
    <row r="81" spans="1:16" ht="13.5" customHeight="1" x14ac:dyDescent="0.25">
      <c r="A81" s="347" t="s">
        <v>126</v>
      </c>
      <c r="B81" s="347"/>
      <c r="C81" s="347"/>
      <c r="D81" s="347"/>
      <c r="E81" s="347"/>
      <c r="F81" s="347"/>
      <c r="G81" s="347"/>
      <c r="H81" s="347"/>
      <c r="I81" s="347"/>
      <c r="J81" s="54"/>
    </row>
    <row r="82" spans="1:16" ht="13.5" customHeight="1" x14ac:dyDescent="0.25">
      <c r="A82" s="142" t="s">
        <v>66</v>
      </c>
      <c r="B82" s="359" t="s">
        <v>67</v>
      </c>
      <c r="C82" s="359"/>
      <c r="D82" s="359"/>
      <c r="E82" s="359"/>
      <c r="F82" s="359"/>
      <c r="G82" s="359"/>
      <c r="H82" s="142" t="s">
        <v>18</v>
      </c>
      <c r="I82" s="142" t="s">
        <v>19</v>
      </c>
      <c r="J82" s="55"/>
    </row>
    <row r="83" spans="1:16" ht="13.5" customHeight="1" x14ac:dyDescent="0.25">
      <c r="A83" s="137" t="s">
        <v>2</v>
      </c>
      <c r="B83" s="334" t="s">
        <v>68</v>
      </c>
      <c r="C83" s="334"/>
      <c r="D83" s="334"/>
      <c r="E83" s="334"/>
      <c r="F83" s="334"/>
      <c r="G83" s="334"/>
      <c r="H83" s="86">
        <f>(( 1+1/3)/12)/12</f>
        <v>9.2592592592592587E-3</v>
      </c>
      <c r="I83" s="56">
        <f>SUM($I$35,$I$69,$I$79)*H83</f>
        <v>29.292109059855967</v>
      </c>
      <c r="J83" s="57"/>
    </row>
    <row r="84" spans="1:16" s="223" customFormat="1" ht="13.5" customHeight="1" x14ac:dyDescent="0.25">
      <c r="A84" s="219" t="s">
        <v>4</v>
      </c>
      <c r="B84" s="355" t="s">
        <v>69</v>
      </c>
      <c r="C84" s="355"/>
      <c r="D84" s="355"/>
      <c r="E84" s="355"/>
      <c r="F84" s="355"/>
      <c r="G84" s="355"/>
      <c r="H84" s="250">
        <v>0</v>
      </c>
      <c r="I84" s="220">
        <f>SUM($I$35,$I$69,$I$79)*H84</f>
        <v>0</v>
      </c>
      <c r="J84" s="221"/>
      <c r="K84" s="222"/>
      <c r="L84" s="222"/>
      <c r="M84" s="222"/>
      <c r="N84" s="222"/>
      <c r="O84" s="222"/>
      <c r="P84" s="222"/>
    </row>
    <row r="85" spans="1:16" s="223" customFormat="1" ht="13.5" customHeight="1" x14ac:dyDescent="0.25">
      <c r="A85" s="219" t="s">
        <v>6</v>
      </c>
      <c r="B85" s="355" t="s">
        <v>70</v>
      </c>
      <c r="C85" s="355"/>
      <c r="D85" s="355"/>
      <c r="E85" s="355"/>
      <c r="F85" s="355"/>
      <c r="G85" s="355"/>
      <c r="H85" s="250">
        <v>0</v>
      </c>
      <c r="I85" s="220">
        <f>SUM($I$35,$I$69,$I$79)*H85</f>
        <v>0</v>
      </c>
      <c r="J85" s="221"/>
      <c r="K85" s="222"/>
      <c r="L85" s="222"/>
      <c r="M85" s="222"/>
      <c r="N85" s="222"/>
      <c r="O85" s="222"/>
      <c r="P85" s="222"/>
    </row>
    <row r="86" spans="1:16" s="223" customFormat="1" ht="13.5" customHeight="1" x14ac:dyDescent="0.25">
      <c r="A86" s="219" t="s">
        <v>8</v>
      </c>
      <c r="B86" s="355" t="s">
        <v>71</v>
      </c>
      <c r="C86" s="355"/>
      <c r="D86" s="355"/>
      <c r="E86" s="355"/>
      <c r="F86" s="355"/>
      <c r="G86" s="355"/>
      <c r="H86" s="250">
        <v>0</v>
      </c>
      <c r="I86" s="220">
        <f>SUM($I$35,$I$69,$I$79)*H86</f>
        <v>0</v>
      </c>
      <c r="J86" s="221"/>
      <c r="K86" s="222"/>
      <c r="L86" s="222"/>
      <c r="M86" s="222"/>
      <c r="N86" s="222"/>
      <c r="O86" s="222"/>
      <c r="P86" s="222"/>
    </row>
    <row r="87" spans="1:16" s="223" customFormat="1" ht="13.5" customHeight="1" x14ac:dyDescent="0.25">
      <c r="A87" s="219" t="s">
        <v>24</v>
      </c>
      <c r="B87" s="355" t="s">
        <v>72</v>
      </c>
      <c r="C87" s="355"/>
      <c r="D87" s="355"/>
      <c r="E87" s="355"/>
      <c r="F87" s="355"/>
      <c r="G87" s="355"/>
      <c r="H87" s="250">
        <v>0</v>
      </c>
      <c r="I87" s="220">
        <f>SUM($I$35,$I$69,$I$79)*H87</f>
        <v>0</v>
      </c>
      <c r="J87" s="221"/>
      <c r="K87" s="222"/>
      <c r="L87" s="222"/>
      <c r="M87" s="222"/>
      <c r="N87" s="222"/>
      <c r="O87" s="222"/>
      <c r="P87" s="222"/>
    </row>
    <row r="88" spans="1:16" s="223" customFormat="1" ht="13.5" customHeight="1" x14ac:dyDescent="0.25">
      <c r="A88" s="219" t="s">
        <v>26</v>
      </c>
      <c r="B88" s="355" t="s">
        <v>134</v>
      </c>
      <c r="C88" s="355"/>
      <c r="D88" s="355"/>
      <c r="E88" s="355"/>
      <c r="F88" s="355"/>
      <c r="G88" s="355"/>
      <c r="H88" s="246">
        <v>0</v>
      </c>
      <c r="I88" s="220">
        <f t="shared" ref="I88" si="2">SUM($I$35,$I$69,$I$79)*H88</f>
        <v>0</v>
      </c>
      <c r="J88" s="221"/>
      <c r="K88" s="222"/>
      <c r="L88" s="222"/>
      <c r="M88" s="222"/>
      <c r="N88" s="222"/>
      <c r="O88" s="222"/>
      <c r="P88" s="222"/>
    </row>
    <row r="89" spans="1:16" ht="13.5" customHeight="1" x14ac:dyDescent="0.25">
      <c r="A89" s="87"/>
      <c r="B89" s="359" t="s">
        <v>73</v>
      </c>
      <c r="C89" s="359"/>
      <c r="D89" s="359"/>
      <c r="E89" s="359"/>
      <c r="F89" s="359"/>
      <c r="G89" s="359"/>
      <c r="H89" s="88">
        <f>SUM(H83:H88)</f>
        <v>9.2592592592592587E-3</v>
      </c>
      <c r="I89" s="64">
        <f>SUM(I83:I88)</f>
        <v>29.292109059855967</v>
      </c>
      <c r="J89" s="65"/>
      <c r="K89" s="31"/>
      <c r="L89" s="33"/>
      <c r="M89" s="34"/>
    </row>
    <row r="90" spans="1:16" ht="5.25" customHeight="1" x14ac:dyDescent="0.25">
      <c r="A90" s="89"/>
      <c r="B90" s="329"/>
      <c r="C90" s="329"/>
      <c r="D90" s="329"/>
      <c r="E90" s="329"/>
      <c r="F90" s="329"/>
      <c r="G90" s="330"/>
      <c r="H90" s="330"/>
      <c r="I90" s="72"/>
      <c r="J90" s="72"/>
    </row>
    <row r="91" spans="1:16" ht="13.5" customHeight="1" x14ac:dyDescent="0.25">
      <c r="A91" s="142" t="s">
        <v>74</v>
      </c>
      <c r="B91" s="360" t="s">
        <v>75</v>
      </c>
      <c r="C91" s="361"/>
      <c r="D91" s="361"/>
      <c r="E91" s="361"/>
      <c r="F91" s="361"/>
      <c r="G91" s="361"/>
      <c r="H91" s="362"/>
      <c r="I91" s="142" t="s">
        <v>19</v>
      </c>
      <c r="J91" s="55"/>
    </row>
    <row r="92" spans="1:16" ht="13.5" customHeight="1" x14ac:dyDescent="0.25">
      <c r="A92" s="137" t="s">
        <v>2</v>
      </c>
      <c r="B92" s="339" t="s">
        <v>208</v>
      </c>
      <c r="C92" s="340"/>
      <c r="D92" s="340"/>
      <c r="E92" s="340"/>
      <c r="F92" s="340"/>
      <c r="G92" s="340"/>
      <c r="H92" s="363"/>
      <c r="I92" s="90">
        <v>0</v>
      </c>
      <c r="J92" s="91"/>
    </row>
    <row r="93" spans="1:16" ht="13.5" customHeight="1" x14ac:dyDescent="0.25">
      <c r="A93" s="87"/>
      <c r="B93" s="336" t="s">
        <v>76</v>
      </c>
      <c r="C93" s="337"/>
      <c r="D93" s="337"/>
      <c r="E93" s="337"/>
      <c r="F93" s="337"/>
      <c r="G93" s="337"/>
      <c r="H93" s="338"/>
      <c r="I93" s="64">
        <f>SUM(I92)</f>
        <v>0</v>
      </c>
      <c r="J93" s="65"/>
    </row>
    <row r="94" spans="1:16" x14ac:dyDescent="0.25">
      <c r="A94" s="89"/>
      <c r="B94" s="329"/>
      <c r="C94" s="329"/>
      <c r="D94" s="329"/>
      <c r="E94" s="329"/>
      <c r="F94" s="329"/>
      <c r="G94" s="330"/>
      <c r="H94" s="330"/>
      <c r="I94" s="72"/>
      <c r="J94" s="72"/>
    </row>
    <row r="95" spans="1:16" ht="13.5" customHeight="1" x14ac:dyDescent="0.25">
      <c r="A95" s="356" t="s">
        <v>77</v>
      </c>
      <c r="B95" s="356"/>
      <c r="C95" s="356"/>
      <c r="D95" s="356"/>
      <c r="E95" s="356"/>
      <c r="F95" s="356"/>
      <c r="G95" s="356"/>
      <c r="H95" s="356"/>
      <c r="I95" s="356"/>
      <c r="J95" s="49"/>
    </row>
    <row r="96" spans="1:16" ht="13.5" customHeight="1" x14ac:dyDescent="0.25">
      <c r="A96" s="79" t="s">
        <v>66</v>
      </c>
      <c r="B96" s="357" t="s">
        <v>69</v>
      </c>
      <c r="C96" s="357"/>
      <c r="D96" s="357"/>
      <c r="E96" s="357"/>
      <c r="F96" s="357"/>
      <c r="G96" s="357"/>
      <c r="H96" s="357"/>
      <c r="I96" s="56">
        <f>I89</f>
        <v>29.292109059855967</v>
      </c>
      <c r="J96" s="57"/>
    </row>
    <row r="97" spans="1:16" ht="13.5" customHeight="1" x14ac:dyDescent="0.25">
      <c r="A97" s="79" t="s">
        <v>74</v>
      </c>
      <c r="B97" s="358" t="s">
        <v>78</v>
      </c>
      <c r="C97" s="358"/>
      <c r="D97" s="358"/>
      <c r="E97" s="358"/>
      <c r="F97" s="358"/>
      <c r="G97" s="358"/>
      <c r="H97" s="358"/>
      <c r="I97" s="56">
        <f>I93</f>
        <v>0</v>
      </c>
      <c r="J97" s="57"/>
    </row>
    <row r="98" spans="1:16" ht="13.5" customHeight="1" x14ac:dyDescent="0.25">
      <c r="A98" s="335" t="s">
        <v>79</v>
      </c>
      <c r="B98" s="335"/>
      <c r="C98" s="335"/>
      <c r="D98" s="335"/>
      <c r="E98" s="335"/>
      <c r="F98" s="335"/>
      <c r="G98" s="335"/>
      <c r="H98" s="335"/>
      <c r="I98" s="60">
        <f>SUM(I96:I97)</f>
        <v>29.292109059855967</v>
      </c>
      <c r="J98" s="61"/>
    </row>
    <row r="99" spans="1:16" x14ac:dyDescent="0.25">
      <c r="A99" s="89"/>
      <c r="B99" s="329"/>
      <c r="C99" s="329"/>
      <c r="D99" s="329"/>
      <c r="E99" s="329"/>
      <c r="F99" s="329"/>
      <c r="G99" s="330"/>
      <c r="H99" s="330"/>
      <c r="I99" s="72"/>
      <c r="J99" s="72"/>
    </row>
    <row r="100" spans="1:16" ht="13.5" customHeight="1" x14ac:dyDescent="0.25">
      <c r="A100" s="347" t="s">
        <v>128</v>
      </c>
      <c r="B100" s="347"/>
      <c r="C100" s="347"/>
      <c r="D100" s="347"/>
      <c r="E100" s="347"/>
      <c r="F100" s="347"/>
      <c r="G100" s="347"/>
      <c r="H100" s="347"/>
      <c r="I100" s="347"/>
      <c r="J100" s="54"/>
    </row>
    <row r="101" spans="1:16" ht="13.5" customHeight="1" x14ac:dyDescent="0.25">
      <c r="A101" s="142">
        <v>5</v>
      </c>
      <c r="B101" s="335" t="s">
        <v>80</v>
      </c>
      <c r="C101" s="335"/>
      <c r="D101" s="335"/>
      <c r="E101" s="335"/>
      <c r="F101" s="335"/>
      <c r="G101" s="335"/>
      <c r="H101" s="335"/>
      <c r="I101" s="142" t="s">
        <v>19</v>
      </c>
      <c r="J101" s="55"/>
    </row>
    <row r="102" spans="1:16" ht="13.5" customHeight="1" x14ac:dyDescent="0.25">
      <c r="A102" s="137" t="s">
        <v>2</v>
      </c>
      <c r="B102" s="349" t="s">
        <v>142</v>
      </c>
      <c r="C102" s="349"/>
      <c r="D102" s="349"/>
      <c r="E102" s="349"/>
      <c r="F102" s="349"/>
      <c r="G102" s="349"/>
      <c r="H102" s="349"/>
      <c r="I102" s="92">
        <f>(UNIF!G44+UNIF!G59)/2</f>
        <v>70.03164653219622</v>
      </c>
      <c r="J102" s="93"/>
    </row>
    <row r="103" spans="1:16" ht="13.5" customHeight="1" x14ac:dyDescent="0.25">
      <c r="A103" s="137" t="s">
        <v>4</v>
      </c>
      <c r="B103" s="349" t="s">
        <v>81</v>
      </c>
      <c r="C103" s="349"/>
      <c r="D103" s="349"/>
      <c r="E103" s="349"/>
      <c r="F103" s="349"/>
      <c r="G103" s="349"/>
      <c r="H103" s="349"/>
      <c r="I103" s="92">
        <v>0</v>
      </c>
      <c r="J103" s="93"/>
    </row>
    <row r="104" spans="1:16" ht="13.5" customHeight="1" x14ac:dyDescent="0.25">
      <c r="A104" s="137" t="s">
        <v>6</v>
      </c>
      <c r="B104" s="349" t="s">
        <v>206</v>
      </c>
      <c r="C104" s="349"/>
      <c r="D104" s="349"/>
      <c r="E104" s="349"/>
      <c r="F104" s="349"/>
      <c r="G104" s="349"/>
      <c r="H104" s="349"/>
      <c r="I104" s="92">
        <v>0</v>
      </c>
      <c r="J104" s="93"/>
    </row>
    <row r="105" spans="1:16" s="78" customFormat="1" ht="13.5" customHeight="1" x14ac:dyDescent="0.25">
      <c r="A105" s="146" t="s">
        <v>8</v>
      </c>
      <c r="B105" s="350" t="s">
        <v>132</v>
      </c>
      <c r="C105" s="351"/>
      <c r="D105" s="351"/>
      <c r="E105" s="351"/>
      <c r="F105" s="351"/>
      <c r="G105" s="351"/>
      <c r="H105" s="352"/>
      <c r="I105" s="76">
        <v>0</v>
      </c>
      <c r="J105" s="77"/>
      <c r="K105" s="32"/>
      <c r="L105" s="32"/>
      <c r="M105" s="32"/>
      <c r="N105" s="32"/>
      <c r="O105" s="32"/>
      <c r="P105" s="32"/>
    </row>
    <row r="106" spans="1:16" ht="13.5" customHeight="1" x14ac:dyDescent="0.25">
      <c r="A106" s="335" t="s">
        <v>82</v>
      </c>
      <c r="B106" s="335"/>
      <c r="C106" s="335"/>
      <c r="D106" s="335"/>
      <c r="E106" s="335"/>
      <c r="F106" s="335"/>
      <c r="G106" s="335"/>
      <c r="H106" s="335"/>
      <c r="I106" s="60">
        <f>SUM(I102:I105)</f>
        <v>70.03164653219622</v>
      </c>
      <c r="J106" s="61"/>
    </row>
    <row r="107" spans="1:16" x14ac:dyDescent="0.25">
      <c r="A107" s="353"/>
      <c r="B107" s="353"/>
      <c r="C107" s="353"/>
      <c r="D107" s="353"/>
      <c r="E107" s="353"/>
      <c r="F107" s="353"/>
      <c r="G107" s="354"/>
      <c r="H107" s="354"/>
      <c r="I107" s="66"/>
      <c r="J107" s="66"/>
    </row>
    <row r="108" spans="1:16" ht="13.5" customHeight="1" x14ac:dyDescent="0.25">
      <c r="A108" s="347" t="s">
        <v>129</v>
      </c>
      <c r="B108" s="347"/>
      <c r="C108" s="347"/>
      <c r="D108" s="347"/>
      <c r="E108" s="347"/>
      <c r="F108" s="347"/>
      <c r="G108" s="347"/>
      <c r="H108" s="347"/>
      <c r="I108" s="347"/>
      <c r="J108" s="54"/>
    </row>
    <row r="109" spans="1:16" ht="13.5" customHeight="1" x14ac:dyDescent="0.25">
      <c r="A109" s="142">
        <v>6</v>
      </c>
      <c r="B109" s="335" t="s">
        <v>83</v>
      </c>
      <c r="C109" s="335"/>
      <c r="D109" s="335"/>
      <c r="E109" s="335"/>
      <c r="F109" s="335"/>
      <c r="G109" s="335"/>
      <c r="H109" s="142" t="s">
        <v>18</v>
      </c>
      <c r="I109" s="142" t="s">
        <v>19</v>
      </c>
      <c r="J109" s="55"/>
    </row>
    <row r="110" spans="1:16" s="83" customFormat="1" ht="13.5" customHeight="1" x14ac:dyDescent="0.25">
      <c r="A110" s="145" t="s">
        <v>2</v>
      </c>
      <c r="B110" s="348" t="s">
        <v>84</v>
      </c>
      <c r="C110" s="348"/>
      <c r="D110" s="348"/>
      <c r="E110" s="348"/>
      <c r="F110" s="348"/>
      <c r="G110" s="348"/>
      <c r="H110" s="94">
        <v>1.4999999999999999E-2</v>
      </c>
      <c r="I110" s="95">
        <f>SUM($I$129)*H110</f>
        <v>48.943073010847449</v>
      </c>
      <c r="J110" s="96"/>
      <c r="K110" s="178" t="s">
        <v>312</v>
      </c>
      <c r="L110" s="180">
        <v>5641.24</v>
      </c>
      <c r="M110" s="180"/>
      <c r="N110" s="21"/>
      <c r="O110" s="21"/>
      <c r="P110" s="21"/>
    </row>
    <row r="111" spans="1:16" s="83" customFormat="1" ht="13.5" customHeight="1" x14ac:dyDescent="0.25">
      <c r="A111" s="145" t="s">
        <v>4</v>
      </c>
      <c r="B111" s="348" t="s">
        <v>85</v>
      </c>
      <c r="C111" s="348"/>
      <c r="D111" s="348"/>
      <c r="E111" s="348"/>
      <c r="F111" s="348"/>
      <c r="G111" s="348"/>
      <c r="H111" s="94">
        <v>1.3220000000000001E-2</v>
      </c>
      <c r="I111" s="95">
        <f>SUM($I$129,I110)*H111</f>
        <v>43.782189105430291</v>
      </c>
      <c r="J111" s="96"/>
      <c r="K111" s="178" t="s">
        <v>313</v>
      </c>
      <c r="L111" s="180">
        <f>PROPOSTA!I45</f>
        <v>0</v>
      </c>
      <c r="M111" s="180"/>
      <c r="N111" s="21"/>
      <c r="O111" s="21"/>
      <c r="P111" s="21"/>
    </row>
    <row r="112" spans="1:16" ht="13.5" customHeight="1" x14ac:dyDescent="0.25">
      <c r="A112" s="137"/>
      <c r="B112" s="342"/>
      <c r="C112" s="342"/>
      <c r="D112" s="342"/>
      <c r="E112" s="343" t="s">
        <v>86</v>
      </c>
      <c r="F112" s="343"/>
      <c r="G112" s="343"/>
      <c r="H112" s="343"/>
      <c r="I112" s="97"/>
      <c r="J112" s="98"/>
      <c r="L112" s="181">
        <f>L110-L111</f>
        <v>5641.24</v>
      </c>
      <c r="M112" s="181"/>
    </row>
    <row r="113" spans="1:10" ht="13.5" customHeight="1" x14ac:dyDescent="0.25">
      <c r="A113" s="137" t="s">
        <v>6</v>
      </c>
      <c r="B113" s="344" t="s">
        <v>87</v>
      </c>
      <c r="C113" s="344"/>
      <c r="D113" s="344"/>
      <c r="E113" s="345">
        <f>SUM(H115,H116,H119)</f>
        <v>6.5060000000000007E-2</v>
      </c>
      <c r="F113" s="346"/>
      <c r="G113" s="345">
        <f>1-((H115+H116+H119))</f>
        <v>0.93493999999999999</v>
      </c>
      <c r="H113" s="346"/>
      <c r="I113" s="99"/>
      <c r="J113" s="100"/>
    </row>
    <row r="114" spans="1:10" ht="13.5" customHeight="1" x14ac:dyDescent="0.25">
      <c r="A114" s="137" t="s">
        <v>88</v>
      </c>
      <c r="B114" s="339" t="s">
        <v>89</v>
      </c>
      <c r="C114" s="340"/>
      <c r="D114" s="340"/>
      <c r="E114" s="340"/>
      <c r="F114" s="340"/>
      <c r="G114" s="340"/>
      <c r="H114" s="340"/>
      <c r="I114" s="101"/>
      <c r="J114" s="102"/>
    </row>
    <row r="115" spans="1:10" ht="13.5" customHeight="1" x14ac:dyDescent="0.25">
      <c r="A115" s="103" t="s">
        <v>90</v>
      </c>
      <c r="B115" s="341" t="s">
        <v>91</v>
      </c>
      <c r="C115" s="341"/>
      <c r="D115" s="341"/>
      <c r="E115" s="341"/>
      <c r="F115" s="341"/>
      <c r="G115" s="341"/>
      <c r="H115" s="104">
        <v>2.6800000000000001E-3</v>
      </c>
      <c r="I115" s="97">
        <f>SUM($I$129,$I$110,$I$111)*H115/(1-$E$113)</f>
        <v>9.6187984402667954</v>
      </c>
      <c r="J115" s="98"/>
    </row>
    <row r="116" spans="1:10" ht="13.5" customHeight="1" x14ac:dyDescent="0.25">
      <c r="A116" s="103" t="s">
        <v>92</v>
      </c>
      <c r="B116" s="341" t="s">
        <v>93</v>
      </c>
      <c r="C116" s="341"/>
      <c r="D116" s="341"/>
      <c r="E116" s="341"/>
      <c r="F116" s="341"/>
      <c r="G116" s="341"/>
      <c r="H116" s="104">
        <v>1.238E-2</v>
      </c>
      <c r="I116" s="97">
        <f>SUM($I$129,$I$110,$I$111)*H116/(1-$E$113)</f>
        <v>44.433106227799591</v>
      </c>
      <c r="J116" s="98"/>
    </row>
    <row r="117" spans="1:10" ht="13.5" customHeight="1" x14ac:dyDescent="0.25">
      <c r="A117" s="137" t="s">
        <v>94</v>
      </c>
      <c r="B117" s="339" t="s">
        <v>95</v>
      </c>
      <c r="C117" s="340"/>
      <c r="D117" s="340"/>
      <c r="E117" s="340"/>
      <c r="F117" s="340"/>
      <c r="G117" s="340"/>
      <c r="H117" s="340"/>
      <c r="I117" s="101"/>
      <c r="J117" s="102"/>
    </row>
    <row r="118" spans="1:10" ht="13.5" customHeight="1" x14ac:dyDescent="0.25">
      <c r="A118" s="137" t="s">
        <v>96</v>
      </c>
      <c r="B118" s="339" t="s">
        <v>97</v>
      </c>
      <c r="C118" s="340"/>
      <c r="D118" s="340"/>
      <c r="E118" s="340"/>
      <c r="F118" s="340"/>
      <c r="G118" s="340"/>
      <c r="H118" s="340"/>
      <c r="I118" s="101"/>
      <c r="J118" s="102"/>
    </row>
    <row r="119" spans="1:10" ht="13.5" customHeight="1" x14ac:dyDescent="0.25">
      <c r="A119" s="103" t="s">
        <v>98</v>
      </c>
      <c r="B119" s="341" t="s">
        <v>99</v>
      </c>
      <c r="C119" s="341"/>
      <c r="D119" s="341"/>
      <c r="E119" s="341"/>
      <c r="F119" s="341"/>
      <c r="G119" s="341"/>
      <c r="H119" s="105">
        <v>0.05</v>
      </c>
      <c r="I119" s="97">
        <f>SUM($I$129,$I$110,$I$111)*H119/(1-$E$113)</f>
        <v>179.45519478109691</v>
      </c>
      <c r="J119" s="98"/>
    </row>
    <row r="120" spans="1:10" ht="13.5" customHeight="1" x14ac:dyDescent="0.25">
      <c r="A120" s="335" t="s">
        <v>100</v>
      </c>
      <c r="B120" s="335"/>
      <c r="C120" s="335"/>
      <c r="D120" s="335"/>
      <c r="E120" s="335"/>
      <c r="F120" s="335"/>
      <c r="G120" s="335"/>
      <c r="H120" s="335"/>
      <c r="I120" s="60">
        <f>SUM(I110:I119)</f>
        <v>326.23236156544101</v>
      </c>
      <c r="J120" s="61"/>
    </row>
    <row r="121" spans="1:10" x14ac:dyDescent="0.25">
      <c r="A121" s="89"/>
      <c r="B121" s="329"/>
      <c r="C121" s="329"/>
      <c r="D121" s="329"/>
      <c r="E121" s="329"/>
      <c r="F121" s="329"/>
      <c r="G121" s="330"/>
      <c r="H121" s="330"/>
      <c r="I121" s="72"/>
      <c r="J121" s="72"/>
    </row>
    <row r="122" spans="1:10" ht="13.5" customHeight="1" x14ac:dyDescent="0.25">
      <c r="A122" s="325" t="s">
        <v>101</v>
      </c>
      <c r="B122" s="325"/>
      <c r="C122" s="325"/>
      <c r="D122" s="325"/>
      <c r="E122" s="325"/>
      <c r="F122" s="325"/>
      <c r="G122" s="325"/>
      <c r="H122" s="325"/>
      <c r="I122" s="325"/>
      <c r="J122" s="106"/>
    </row>
    <row r="123" spans="1:10" ht="13.5" customHeight="1" x14ac:dyDescent="0.25">
      <c r="A123" s="142"/>
      <c r="B123" s="336" t="s">
        <v>102</v>
      </c>
      <c r="C123" s="337"/>
      <c r="D123" s="337"/>
      <c r="E123" s="337"/>
      <c r="F123" s="337"/>
      <c r="G123" s="337"/>
      <c r="H123" s="338"/>
      <c r="I123" s="142" t="s">
        <v>19</v>
      </c>
      <c r="J123" s="55"/>
    </row>
    <row r="124" spans="1:10" ht="13.5" customHeight="1" x14ac:dyDescent="0.25">
      <c r="A124" s="137" t="s">
        <v>2</v>
      </c>
      <c r="B124" s="333" t="s">
        <v>103</v>
      </c>
      <c r="C124" s="333"/>
      <c r="D124" s="333"/>
      <c r="E124" s="333"/>
      <c r="F124" s="333"/>
      <c r="G124" s="333"/>
      <c r="H124" s="333"/>
      <c r="I124" s="56">
        <f>I35</f>
        <v>1544.42</v>
      </c>
      <c r="J124" s="57"/>
    </row>
    <row r="125" spans="1:10" ht="13.5" customHeight="1" x14ac:dyDescent="0.25">
      <c r="A125" s="137" t="s">
        <v>4</v>
      </c>
      <c r="B125" s="333" t="s">
        <v>104</v>
      </c>
      <c r="C125" s="333"/>
      <c r="D125" s="333"/>
      <c r="E125" s="333"/>
      <c r="F125" s="333"/>
      <c r="G125" s="333"/>
      <c r="H125" s="333"/>
      <c r="I125" s="56">
        <f>I69</f>
        <v>1564.9308202222223</v>
      </c>
      <c r="J125" s="57"/>
    </row>
    <row r="126" spans="1:10" ht="13.5" customHeight="1" x14ac:dyDescent="0.25">
      <c r="A126" s="137" t="s">
        <v>6</v>
      </c>
      <c r="B126" s="333" t="s">
        <v>105</v>
      </c>
      <c r="C126" s="333"/>
      <c r="D126" s="333"/>
      <c r="E126" s="333"/>
      <c r="F126" s="333"/>
      <c r="G126" s="333"/>
      <c r="H126" s="333"/>
      <c r="I126" s="56">
        <f>I79</f>
        <v>54.196958242222223</v>
      </c>
      <c r="J126" s="57"/>
    </row>
    <row r="127" spans="1:10" ht="13.5" customHeight="1" x14ac:dyDescent="0.25">
      <c r="A127" s="137" t="s">
        <v>8</v>
      </c>
      <c r="B127" s="333" t="s">
        <v>106</v>
      </c>
      <c r="C127" s="333"/>
      <c r="D127" s="333"/>
      <c r="E127" s="333"/>
      <c r="F127" s="333"/>
      <c r="G127" s="333"/>
      <c r="H127" s="333"/>
      <c r="I127" s="56">
        <f>I98</f>
        <v>29.292109059855967</v>
      </c>
      <c r="J127" s="57"/>
    </row>
    <row r="128" spans="1:10" ht="13.5" customHeight="1" x14ac:dyDescent="0.25">
      <c r="A128" s="137" t="s">
        <v>24</v>
      </c>
      <c r="B128" s="333" t="s">
        <v>107</v>
      </c>
      <c r="C128" s="333"/>
      <c r="D128" s="333"/>
      <c r="E128" s="333"/>
      <c r="F128" s="333"/>
      <c r="G128" s="333"/>
      <c r="H128" s="333"/>
      <c r="I128" s="56">
        <f>I106</f>
        <v>70.03164653219622</v>
      </c>
      <c r="J128" s="57"/>
    </row>
    <row r="129" spans="1:12" ht="13.5" customHeight="1" x14ac:dyDescent="0.25">
      <c r="A129" s="328" t="s">
        <v>108</v>
      </c>
      <c r="B129" s="328"/>
      <c r="C129" s="328"/>
      <c r="D129" s="328"/>
      <c r="E129" s="328"/>
      <c r="F129" s="328"/>
      <c r="G129" s="328"/>
      <c r="H129" s="328"/>
      <c r="I129" s="107">
        <f>SUM(I124:I128)</f>
        <v>3262.8715340564968</v>
      </c>
      <c r="J129" s="108"/>
    </row>
    <row r="130" spans="1:12" ht="13.5" customHeight="1" x14ac:dyDescent="0.25">
      <c r="A130" s="137" t="s">
        <v>26</v>
      </c>
      <c r="B130" s="334" t="s">
        <v>109</v>
      </c>
      <c r="C130" s="334"/>
      <c r="D130" s="334"/>
      <c r="E130" s="334"/>
      <c r="F130" s="334"/>
      <c r="G130" s="334"/>
      <c r="H130" s="334"/>
      <c r="I130" s="56">
        <f>I120</f>
        <v>326.23236156544101</v>
      </c>
      <c r="J130" s="57"/>
    </row>
    <row r="131" spans="1:12" ht="13.5" customHeight="1" x14ac:dyDescent="0.25">
      <c r="A131" s="328" t="s">
        <v>110</v>
      </c>
      <c r="B131" s="328"/>
      <c r="C131" s="328"/>
      <c r="D131" s="328"/>
      <c r="E131" s="328"/>
      <c r="F131" s="328"/>
      <c r="G131" s="328"/>
      <c r="H131" s="328"/>
      <c r="I131" s="109">
        <f>TRUNC(SUM(I129:I130),2)</f>
        <v>3589.1</v>
      </c>
      <c r="J131" s="110"/>
      <c r="K131" s="35">
        <f>SUM(I35,I69,I79,I98,I106,I110,I111)/G113</f>
        <v>3589.1038956219381</v>
      </c>
    </row>
    <row r="132" spans="1:12" ht="13.5" customHeight="1" x14ac:dyDescent="0.25">
      <c r="A132" s="89"/>
      <c r="B132" s="329"/>
      <c r="C132" s="329"/>
      <c r="D132" s="329"/>
      <c r="E132" s="329"/>
      <c r="F132" s="329"/>
      <c r="G132" s="330"/>
      <c r="H132" s="330"/>
      <c r="I132" s="72"/>
      <c r="J132" s="72"/>
    </row>
    <row r="133" spans="1:12" ht="13.5" customHeight="1" x14ac:dyDescent="0.25">
      <c r="A133" s="325" t="s">
        <v>111</v>
      </c>
      <c r="B133" s="325"/>
      <c r="C133" s="325"/>
      <c r="D133" s="325"/>
      <c r="E133" s="325"/>
      <c r="F133" s="325"/>
      <c r="G133" s="325"/>
      <c r="H133" s="325"/>
      <c r="I133" s="325"/>
      <c r="J133" s="106"/>
    </row>
    <row r="134" spans="1:12" ht="36" x14ac:dyDescent="0.25">
      <c r="A134" s="331" t="s">
        <v>112</v>
      </c>
      <c r="B134" s="331"/>
      <c r="C134" s="331"/>
      <c r="D134" s="111" t="s">
        <v>113</v>
      </c>
      <c r="E134" s="138" t="s">
        <v>120</v>
      </c>
      <c r="F134" s="332" t="s">
        <v>121</v>
      </c>
      <c r="G134" s="332"/>
      <c r="H134" s="112" t="s">
        <v>114</v>
      </c>
      <c r="I134" s="113" t="s">
        <v>122</v>
      </c>
      <c r="J134" s="114"/>
    </row>
    <row r="135" spans="1:12" ht="21" customHeight="1" x14ac:dyDescent="0.25">
      <c r="A135" s="136" t="s">
        <v>115</v>
      </c>
      <c r="B135" s="323" t="str">
        <f>H23</f>
        <v>ALMOXARIFE</v>
      </c>
      <c r="C135" s="323"/>
      <c r="D135" s="115">
        <f>I131</f>
        <v>3589.1</v>
      </c>
      <c r="E135" s="136">
        <v>1</v>
      </c>
      <c r="F135" s="324">
        <f>(D135*E135)</f>
        <v>3589.1</v>
      </c>
      <c r="G135" s="324"/>
      <c r="H135" s="136">
        <f>H18</f>
        <v>0</v>
      </c>
      <c r="I135" s="143">
        <f>F135*H135</f>
        <v>0</v>
      </c>
      <c r="J135" s="116"/>
    </row>
    <row r="136" spans="1:12" ht="13.5" customHeight="1" x14ac:dyDescent="0.25">
      <c r="A136" s="325" t="s">
        <v>116</v>
      </c>
      <c r="B136" s="325"/>
      <c r="C136" s="325"/>
      <c r="D136" s="325"/>
      <c r="E136" s="325"/>
      <c r="F136" s="325"/>
      <c r="G136" s="325"/>
      <c r="H136" s="325"/>
      <c r="I136" s="325"/>
      <c r="J136" s="106"/>
    </row>
    <row r="137" spans="1:12" ht="13.5" customHeight="1" x14ac:dyDescent="0.25">
      <c r="A137" s="136"/>
      <c r="B137" s="326" t="s">
        <v>117</v>
      </c>
      <c r="C137" s="326"/>
      <c r="D137" s="326"/>
      <c r="E137" s="326"/>
      <c r="F137" s="326"/>
      <c r="G137" s="326"/>
      <c r="H137" s="326"/>
      <c r="I137" s="117" t="s">
        <v>19</v>
      </c>
      <c r="J137" s="118"/>
    </row>
    <row r="138" spans="1:12" ht="13.5" customHeight="1" x14ac:dyDescent="0.25">
      <c r="A138" s="125" t="s">
        <v>2</v>
      </c>
      <c r="B138" s="327" t="s">
        <v>118</v>
      </c>
      <c r="C138" s="327"/>
      <c r="D138" s="327"/>
      <c r="E138" s="327"/>
      <c r="F138" s="327"/>
      <c r="G138" s="327"/>
      <c r="H138" s="327"/>
      <c r="I138" s="92">
        <f>F135</f>
        <v>3589.1</v>
      </c>
      <c r="J138" s="93"/>
      <c r="L138" s="35"/>
    </row>
    <row r="139" spans="1:12" ht="13.5" customHeight="1" x14ac:dyDescent="0.25">
      <c r="A139" s="136" t="s">
        <v>4</v>
      </c>
      <c r="B139" s="327" t="s">
        <v>119</v>
      </c>
      <c r="C139" s="327"/>
      <c r="D139" s="327"/>
      <c r="E139" s="327"/>
      <c r="F139" s="327"/>
      <c r="G139" s="327"/>
      <c r="H139" s="327"/>
      <c r="I139" s="92">
        <f>SUM(I138:I138)*H18</f>
        <v>0</v>
      </c>
      <c r="J139" s="93"/>
      <c r="K139" s="122"/>
      <c r="L139" s="119"/>
    </row>
    <row r="140" spans="1:12" ht="13.5" customHeight="1" x14ac:dyDescent="0.25">
      <c r="A140" s="136" t="s">
        <v>6</v>
      </c>
      <c r="B140" s="323" t="s">
        <v>123</v>
      </c>
      <c r="C140" s="323"/>
      <c r="D140" s="323"/>
      <c r="E140" s="323"/>
      <c r="F140" s="323"/>
      <c r="G140" s="323"/>
      <c r="H140" s="323"/>
      <c r="I140" s="120">
        <f>(I139*12)</f>
        <v>0</v>
      </c>
      <c r="J140" s="121"/>
    </row>
    <row r="141" spans="1:12" x14ac:dyDescent="0.25">
      <c r="I141" s="124"/>
    </row>
  </sheetData>
  <sheetProtection formatCells="0" formatColumns="0" formatRows="0" insertColumns="0" insertRows="0" insertHyperlinks="0" deleteColumns="0" deleteRows="0" sort="0" autoFilter="0" pivotTables="0"/>
  <mergeCells count="169">
    <mergeCell ref="A7:I7"/>
    <mergeCell ref="A8:I8"/>
    <mergeCell ref="A9:I9"/>
    <mergeCell ref="A10:I10"/>
    <mergeCell ref="A11:I11"/>
    <mergeCell ref="B12:D12"/>
    <mergeCell ref="E12:I12"/>
    <mergeCell ref="A1:I1"/>
    <mergeCell ref="A2:I2"/>
    <mergeCell ref="A3:I3"/>
    <mergeCell ref="A4:I4"/>
    <mergeCell ref="A5:I5"/>
    <mergeCell ref="A6:I6"/>
    <mergeCell ref="A16:I16"/>
    <mergeCell ref="A17:E17"/>
    <mergeCell ref="F17:G17"/>
    <mergeCell ref="H17:I17"/>
    <mergeCell ref="A18:E18"/>
    <mergeCell ref="F18:G18"/>
    <mergeCell ref="H18:I18"/>
    <mergeCell ref="B13:D13"/>
    <mergeCell ref="E13:I13"/>
    <mergeCell ref="B14:D14"/>
    <mergeCell ref="E14:I14"/>
    <mergeCell ref="B15:D15"/>
    <mergeCell ref="E15:I15"/>
    <mergeCell ref="B23:G23"/>
    <mergeCell ref="H23:I23"/>
    <mergeCell ref="B24:G24"/>
    <mergeCell ref="H24:I24"/>
    <mergeCell ref="A25:I25"/>
    <mergeCell ref="A26:I26"/>
    <mergeCell ref="A19:I19"/>
    <mergeCell ref="B20:G20"/>
    <mergeCell ref="H20:I20"/>
    <mergeCell ref="B21:G21"/>
    <mergeCell ref="H21:I21"/>
    <mergeCell ref="B22:G22"/>
    <mergeCell ref="H22:I22"/>
    <mergeCell ref="B30:F30"/>
    <mergeCell ref="G30:H30"/>
    <mergeCell ref="B31:F31"/>
    <mergeCell ref="G31:H31"/>
    <mergeCell ref="B32:F32"/>
    <mergeCell ref="G32:H32"/>
    <mergeCell ref="B27:F27"/>
    <mergeCell ref="G27:H27"/>
    <mergeCell ref="B28:F28"/>
    <mergeCell ref="G28:H28"/>
    <mergeCell ref="B29:F29"/>
    <mergeCell ref="G29:H29"/>
    <mergeCell ref="A37:I37"/>
    <mergeCell ref="B38:G38"/>
    <mergeCell ref="B39:G39"/>
    <mergeCell ref="B40:G40"/>
    <mergeCell ref="B41:G41"/>
    <mergeCell ref="B43:G43"/>
    <mergeCell ref="B33:F33"/>
    <mergeCell ref="G33:H33"/>
    <mergeCell ref="B34:F34"/>
    <mergeCell ref="G34:H34"/>
    <mergeCell ref="A35:H35"/>
    <mergeCell ref="A36:I36"/>
    <mergeCell ref="B50:G50"/>
    <mergeCell ref="B51:G51"/>
    <mergeCell ref="A52:G52"/>
    <mergeCell ref="B54:G54"/>
    <mergeCell ref="B55:G55"/>
    <mergeCell ref="B56:G56"/>
    <mergeCell ref="B44:G44"/>
    <mergeCell ref="B45:G45"/>
    <mergeCell ref="B46:G46"/>
    <mergeCell ref="B47:G47"/>
    <mergeCell ref="B48:G48"/>
    <mergeCell ref="B49:G49"/>
    <mergeCell ref="A63:H63"/>
    <mergeCell ref="A65:I65"/>
    <mergeCell ref="B66:H66"/>
    <mergeCell ref="B67:H67"/>
    <mergeCell ref="B68:H68"/>
    <mergeCell ref="A69:H69"/>
    <mergeCell ref="B57:G57"/>
    <mergeCell ref="B58:G58"/>
    <mergeCell ref="B59:G59"/>
    <mergeCell ref="B60:G60"/>
    <mergeCell ref="B61:G61"/>
    <mergeCell ref="B62:G62"/>
    <mergeCell ref="B77:G77"/>
    <mergeCell ref="B78:G78"/>
    <mergeCell ref="A79:G79"/>
    <mergeCell ref="B80:F80"/>
    <mergeCell ref="G80:H80"/>
    <mergeCell ref="A81:I81"/>
    <mergeCell ref="A71:I71"/>
    <mergeCell ref="B72:G72"/>
    <mergeCell ref="B73:G73"/>
    <mergeCell ref="B74:G74"/>
    <mergeCell ref="B75:G75"/>
    <mergeCell ref="B76:G76"/>
    <mergeCell ref="B88:G88"/>
    <mergeCell ref="B89:G89"/>
    <mergeCell ref="B90:F90"/>
    <mergeCell ref="G90:H90"/>
    <mergeCell ref="B91:H91"/>
    <mergeCell ref="B92:H92"/>
    <mergeCell ref="B82:G82"/>
    <mergeCell ref="B83:G83"/>
    <mergeCell ref="B84:G84"/>
    <mergeCell ref="B85:G85"/>
    <mergeCell ref="B86:G86"/>
    <mergeCell ref="B87:G87"/>
    <mergeCell ref="A98:H98"/>
    <mergeCell ref="B99:F99"/>
    <mergeCell ref="G99:H99"/>
    <mergeCell ref="A100:I100"/>
    <mergeCell ref="B101:H101"/>
    <mergeCell ref="B102:H102"/>
    <mergeCell ref="B93:H93"/>
    <mergeCell ref="B94:F94"/>
    <mergeCell ref="G94:H94"/>
    <mergeCell ref="A95:I95"/>
    <mergeCell ref="B96:H96"/>
    <mergeCell ref="B97:H97"/>
    <mergeCell ref="A108:I108"/>
    <mergeCell ref="B109:G109"/>
    <mergeCell ref="B110:G110"/>
    <mergeCell ref="B111:G111"/>
    <mergeCell ref="B103:H103"/>
    <mergeCell ref="B104:H104"/>
    <mergeCell ref="B105:H105"/>
    <mergeCell ref="A106:H106"/>
    <mergeCell ref="A107:F107"/>
    <mergeCell ref="G107:H107"/>
    <mergeCell ref="B114:H114"/>
    <mergeCell ref="B115:G115"/>
    <mergeCell ref="B116:G116"/>
    <mergeCell ref="B117:H117"/>
    <mergeCell ref="B118:H118"/>
    <mergeCell ref="B119:G119"/>
    <mergeCell ref="B112:D112"/>
    <mergeCell ref="E112:H112"/>
    <mergeCell ref="B113:D113"/>
    <mergeCell ref="E113:F113"/>
    <mergeCell ref="G113:H113"/>
    <mergeCell ref="B125:H125"/>
    <mergeCell ref="B126:H126"/>
    <mergeCell ref="B127:H127"/>
    <mergeCell ref="B128:H128"/>
    <mergeCell ref="A129:H129"/>
    <mergeCell ref="B130:H130"/>
    <mergeCell ref="A120:H120"/>
    <mergeCell ref="B121:F121"/>
    <mergeCell ref="G121:H121"/>
    <mergeCell ref="A122:I122"/>
    <mergeCell ref="B123:H123"/>
    <mergeCell ref="B124:H124"/>
    <mergeCell ref="B140:H140"/>
    <mergeCell ref="B135:C135"/>
    <mergeCell ref="F135:G135"/>
    <mergeCell ref="A136:I136"/>
    <mergeCell ref="B137:H137"/>
    <mergeCell ref="B138:H138"/>
    <mergeCell ref="B139:H139"/>
    <mergeCell ref="A131:H131"/>
    <mergeCell ref="B132:F132"/>
    <mergeCell ref="G132:H132"/>
    <mergeCell ref="A133:I133"/>
    <mergeCell ref="A134:C134"/>
    <mergeCell ref="F134:G134"/>
  </mergeCells>
  <pageMargins left="0.6692913385826772" right="0.19685039370078741" top="0.78740157480314965" bottom="0.6692913385826772" header="0.11811023622047245" footer="0.11811023622047245"/>
  <pageSetup paperSize="9" scale="75" firstPageNumber="0" fitToHeight="0" orientation="portrait" r:id="rId1"/>
  <headerFooter alignWithMargins="0">
    <oddHeader>&amp;R&amp;G</oddHeader>
    <oddFooter>&amp;L&amp;G</oddFooter>
  </headerFooter>
  <rowBreaks count="1" manualBreakCount="1">
    <brk id="70" max="8" man="1"/>
  </row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141"/>
  <sheetViews>
    <sheetView view="pageBreakPreview" topLeftCell="C3" zoomScaleNormal="100" zoomScaleSheetLayoutView="100" workbookViewId="0">
      <selection activeCell="G95" sqref="G95"/>
    </sheetView>
  </sheetViews>
  <sheetFormatPr defaultRowHeight="15" x14ac:dyDescent="0.25"/>
  <cols>
    <col min="1" max="1" width="5.5703125" style="1" customWidth="1"/>
    <col min="2" max="3" width="19.42578125" style="1" customWidth="1"/>
    <col min="4" max="4" width="16.42578125" style="1" customWidth="1"/>
    <col min="5" max="5" width="12.42578125" style="1" customWidth="1"/>
    <col min="6" max="6" width="9.140625" style="1" customWidth="1"/>
    <col min="7" max="7" width="7.5703125" style="1" customWidth="1"/>
    <col min="8" max="8" width="12" style="1" customWidth="1"/>
    <col min="9" max="9" width="20.7109375" style="1" customWidth="1"/>
    <col min="10" max="10" width="2.5703125" style="1" customWidth="1"/>
    <col min="11" max="11" width="13" style="3" customWidth="1"/>
    <col min="12" max="12" width="12.5703125" style="3" customWidth="1"/>
    <col min="13" max="13" width="10.28515625" style="3" customWidth="1"/>
    <col min="14" max="16" width="8.7109375" style="3" customWidth="1"/>
    <col min="17" max="1025" width="8.7109375" style="1" customWidth="1"/>
    <col min="1026" max="16384" width="9.140625" style="1"/>
  </cols>
  <sheetData>
    <row r="1" spans="1:10" ht="15.75" x14ac:dyDescent="0.25">
      <c r="A1" s="302" t="s">
        <v>212</v>
      </c>
      <c r="B1" s="302"/>
      <c r="C1" s="302"/>
      <c r="D1" s="302"/>
      <c r="E1" s="302"/>
      <c r="F1" s="302"/>
      <c r="G1" s="302"/>
      <c r="H1" s="302"/>
      <c r="I1" s="302"/>
      <c r="J1" s="126"/>
    </row>
    <row r="2" spans="1:10" ht="15.75" x14ac:dyDescent="0.25">
      <c r="A2" s="302" t="s">
        <v>213</v>
      </c>
      <c r="B2" s="302"/>
      <c r="C2" s="302"/>
      <c r="D2" s="302"/>
      <c r="E2" s="302"/>
      <c r="F2" s="302"/>
      <c r="G2" s="302"/>
      <c r="H2" s="302"/>
      <c r="I2" s="302"/>
      <c r="J2" s="126"/>
    </row>
    <row r="3" spans="1:10" ht="15.75" x14ac:dyDescent="0.25">
      <c r="A3" s="302" t="s">
        <v>215</v>
      </c>
      <c r="B3" s="302"/>
      <c r="C3" s="302"/>
      <c r="D3" s="302"/>
      <c r="E3" s="302"/>
      <c r="F3" s="302"/>
      <c r="G3" s="302"/>
      <c r="H3" s="302"/>
      <c r="I3" s="302"/>
      <c r="J3" s="126"/>
    </row>
    <row r="4" spans="1:10" ht="15.75" x14ac:dyDescent="0.25">
      <c r="A4" s="302" t="s">
        <v>214</v>
      </c>
      <c r="B4" s="302"/>
      <c r="C4" s="302"/>
      <c r="D4" s="302"/>
      <c r="E4" s="302"/>
      <c r="F4" s="302"/>
      <c r="G4" s="302"/>
      <c r="H4" s="302"/>
      <c r="I4" s="302"/>
      <c r="J4" s="126"/>
    </row>
    <row r="5" spans="1:10" ht="15.75" x14ac:dyDescent="0.25">
      <c r="A5" s="396" t="s">
        <v>323</v>
      </c>
      <c r="B5" s="396"/>
      <c r="C5" s="396"/>
      <c r="D5" s="396"/>
      <c r="E5" s="396"/>
      <c r="F5" s="396"/>
      <c r="G5" s="396"/>
      <c r="H5" s="396"/>
      <c r="I5" s="396"/>
      <c r="J5" s="126"/>
    </row>
    <row r="6" spans="1:10" x14ac:dyDescent="0.25">
      <c r="A6" s="385"/>
      <c r="B6" s="385"/>
      <c r="C6" s="385"/>
      <c r="D6" s="385"/>
      <c r="E6" s="385"/>
      <c r="F6" s="385"/>
      <c r="G6" s="385"/>
      <c r="H6" s="385"/>
      <c r="I6" s="385"/>
      <c r="J6" s="139"/>
    </row>
    <row r="7" spans="1:10" ht="18.75" x14ac:dyDescent="0.25">
      <c r="A7" s="390" t="s">
        <v>0</v>
      </c>
      <c r="B7" s="390"/>
      <c r="C7" s="390"/>
      <c r="D7" s="390"/>
      <c r="E7" s="390"/>
      <c r="F7" s="390"/>
      <c r="G7" s="390"/>
      <c r="H7" s="390"/>
      <c r="I7" s="390"/>
      <c r="J7" s="140"/>
    </row>
    <row r="8" spans="1:10" x14ac:dyDescent="0.25">
      <c r="A8" s="385"/>
      <c r="B8" s="385"/>
      <c r="C8" s="385"/>
      <c r="D8" s="385"/>
      <c r="E8" s="385"/>
      <c r="F8" s="385"/>
      <c r="G8" s="385"/>
      <c r="H8" s="385"/>
      <c r="I8" s="385"/>
      <c r="J8" s="139"/>
    </row>
    <row r="9" spans="1:10" x14ac:dyDescent="0.25">
      <c r="A9" s="391" t="s">
        <v>268</v>
      </c>
      <c r="B9" s="391"/>
      <c r="C9" s="391"/>
      <c r="D9" s="391"/>
      <c r="E9" s="391"/>
      <c r="F9" s="391"/>
      <c r="G9" s="391"/>
      <c r="H9" s="391"/>
      <c r="I9" s="391"/>
      <c r="J9" s="37"/>
    </row>
    <row r="10" spans="1:10" ht="21.75" customHeight="1" thickBot="1" x14ac:dyDescent="0.3">
      <c r="A10" s="392" t="s">
        <v>0</v>
      </c>
      <c r="B10" s="392"/>
      <c r="C10" s="392"/>
      <c r="D10" s="392"/>
      <c r="E10" s="392"/>
      <c r="F10" s="392"/>
      <c r="G10" s="392"/>
      <c r="H10" s="392"/>
      <c r="I10" s="392"/>
      <c r="J10" s="44"/>
    </row>
    <row r="11" spans="1:10" ht="13.5" customHeight="1" x14ac:dyDescent="0.25">
      <c r="A11" s="393" t="s">
        <v>1</v>
      </c>
      <c r="B11" s="393"/>
      <c r="C11" s="393"/>
      <c r="D11" s="393"/>
      <c r="E11" s="393"/>
      <c r="F11" s="393"/>
      <c r="G11" s="393"/>
      <c r="H11" s="393"/>
      <c r="I11" s="393"/>
      <c r="J11" s="45"/>
    </row>
    <row r="12" spans="1:10" ht="13.5" customHeight="1" x14ac:dyDescent="0.25">
      <c r="A12" s="137" t="s">
        <v>2</v>
      </c>
      <c r="B12" s="349" t="s">
        <v>3</v>
      </c>
      <c r="C12" s="349"/>
      <c r="D12" s="349"/>
      <c r="E12" s="394">
        <f>MARCEN!E12</f>
        <v>45065</v>
      </c>
      <c r="F12" s="395"/>
      <c r="G12" s="395"/>
      <c r="H12" s="395"/>
      <c r="I12" s="395"/>
      <c r="J12" s="46"/>
    </row>
    <row r="13" spans="1:10" ht="13.5" customHeight="1" x14ac:dyDescent="0.25">
      <c r="A13" s="137" t="s">
        <v>4</v>
      </c>
      <c r="B13" s="387" t="s">
        <v>5</v>
      </c>
      <c r="C13" s="387"/>
      <c r="D13" s="387"/>
      <c r="E13" s="397" t="str">
        <f>MARCEN!E13</f>
        <v>Picos/PI</v>
      </c>
      <c r="F13" s="398"/>
      <c r="G13" s="398"/>
      <c r="H13" s="398"/>
      <c r="I13" s="398"/>
      <c r="J13" s="47"/>
    </row>
    <row r="14" spans="1:10" ht="13.5" customHeight="1" x14ac:dyDescent="0.25">
      <c r="A14" s="137" t="s">
        <v>6</v>
      </c>
      <c r="B14" s="387" t="s">
        <v>7</v>
      </c>
      <c r="C14" s="387"/>
      <c r="D14" s="387"/>
      <c r="E14" s="397" t="str">
        <f>MARCEN!E14</f>
        <v>PI000066/2023</v>
      </c>
      <c r="F14" s="398"/>
      <c r="G14" s="398"/>
      <c r="H14" s="398"/>
      <c r="I14" s="398"/>
      <c r="J14" s="48"/>
    </row>
    <row r="15" spans="1:10" ht="13.5" customHeight="1" x14ac:dyDescent="0.25">
      <c r="A15" s="137" t="s">
        <v>8</v>
      </c>
      <c r="B15" s="349" t="s">
        <v>9</v>
      </c>
      <c r="C15" s="349"/>
      <c r="D15" s="349"/>
      <c r="E15" s="342" t="s">
        <v>194</v>
      </c>
      <c r="F15" s="342"/>
      <c r="G15" s="342"/>
      <c r="H15" s="342"/>
      <c r="I15" s="342"/>
      <c r="J15" s="147"/>
    </row>
    <row r="16" spans="1:10" x14ac:dyDescent="0.25">
      <c r="A16" s="385"/>
      <c r="B16" s="385"/>
      <c r="C16" s="385"/>
      <c r="D16" s="385"/>
      <c r="E16" s="385"/>
      <c r="F16" s="385"/>
      <c r="G16" s="385"/>
      <c r="H16" s="385"/>
      <c r="I16" s="385"/>
      <c r="J16" s="139"/>
    </row>
    <row r="17" spans="1:16" ht="26.25" customHeight="1" x14ac:dyDescent="0.25">
      <c r="A17" s="335" t="s">
        <v>10</v>
      </c>
      <c r="B17" s="335"/>
      <c r="C17" s="335"/>
      <c r="D17" s="335"/>
      <c r="E17" s="335"/>
      <c r="F17" s="335" t="s">
        <v>11</v>
      </c>
      <c r="G17" s="335"/>
      <c r="H17" s="356" t="s">
        <v>207</v>
      </c>
      <c r="I17" s="356"/>
      <c r="J17" s="49"/>
      <c r="O17" s="30"/>
    </row>
    <row r="18" spans="1:16" x14ac:dyDescent="0.25">
      <c r="A18" s="342" t="str">
        <f>A9</f>
        <v>COPEIRO</v>
      </c>
      <c r="B18" s="342"/>
      <c r="C18" s="342"/>
      <c r="D18" s="342"/>
      <c r="E18" s="342"/>
      <c r="F18" s="342" t="s">
        <v>257</v>
      </c>
      <c r="G18" s="342"/>
      <c r="H18" s="386">
        <v>2</v>
      </c>
      <c r="I18" s="386"/>
      <c r="J18" s="50"/>
    </row>
    <row r="19" spans="1:16" x14ac:dyDescent="0.25">
      <c r="A19" s="356" t="s">
        <v>124</v>
      </c>
      <c r="B19" s="356"/>
      <c r="C19" s="356"/>
      <c r="D19" s="356"/>
      <c r="E19" s="356"/>
      <c r="F19" s="356"/>
      <c r="G19" s="356"/>
      <c r="H19" s="356"/>
      <c r="I19" s="356"/>
      <c r="J19" s="49"/>
    </row>
    <row r="20" spans="1:16" x14ac:dyDescent="0.25">
      <c r="A20" s="137">
        <v>1</v>
      </c>
      <c r="B20" s="349" t="s">
        <v>12</v>
      </c>
      <c r="C20" s="349"/>
      <c r="D20" s="349"/>
      <c r="E20" s="349"/>
      <c r="F20" s="349"/>
      <c r="G20" s="349"/>
      <c r="H20" s="379" t="s">
        <v>251</v>
      </c>
      <c r="I20" s="379"/>
      <c r="J20" s="147"/>
    </row>
    <row r="21" spans="1:16" x14ac:dyDescent="0.25">
      <c r="A21" s="137">
        <v>2</v>
      </c>
      <c r="B21" s="339" t="s">
        <v>216</v>
      </c>
      <c r="C21" s="340"/>
      <c r="D21" s="340"/>
      <c r="E21" s="340"/>
      <c r="F21" s="340"/>
      <c r="G21" s="380"/>
      <c r="H21" s="381" t="s">
        <v>269</v>
      </c>
      <c r="I21" s="382"/>
      <c r="J21" s="147"/>
    </row>
    <row r="22" spans="1:16" s="21" customFormat="1" ht="12.75" x14ac:dyDescent="0.2">
      <c r="A22" s="204">
        <v>3</v>
      </c>
      <c r="B22" s="383" t="s">
        <v>13</v>
      </c>
      <c r="C22" s="383"/>
      <c r="D22" s="383"/>
      <c r="E22" s="383"/>
      <c r="F22" s="383"/>
      <c r="G22" s="383"/>
      <c r="H22" s="384">
        <v>1351.36</v>
      </c>
      <c r="I22" s="384"/>
      <c r="J22" s="51"/>
    </row>
    <row r="23" spans="1:16" x14ac:dyDescent="0.25">
      <c r="A23" s="137">
        <v>4</v>
      </c>
      <c r="B23" s="349" t="s">
        <v>14</v>
      </c>
      <c r="C23" s="349"/>
      <c r="D23" s="349"/>
      <c r="E23" s="349"/>
      <c r="F23" s="349"/>
      <c r="G23" s="349"/>
      <c r="H23" s="374" t="str">
        <f>A9</f>
        <v>COPEIRO</v>
      </c>
      <c r="I23" s="374"/>
      <c r="J23" s="52"/>
      <c r="N23" s="4"/>
    </row>
    <row r="24" spans="1:16" x14ac:dyDescent="0.25">
      <c r="A24" s="137">
        <v>5</v>
      </c>
      <c r="B24" s="375" t="s">
        <v>15</v>
      </c>
      <c r="C24" s="375"/>
      <c r="D24" s="375"/>
      <c r="E24" s="375"/>
      <c r="F24" s="375"/>
      <c r="G24" s="375"/>
      <c r="H24" s="376">
        <v>44927</v>
      </c>
      <c r="I24" s="377"/>
      <c r="J24" s="53"/>
    </row>
    <row r="25" spans="1:16" x14ac:dyDescent="0.25">
      <c r="A25" s="378"/>
      <c r="B25" s="378"/>
      <c r="C25" s="378"/>
      <c r="D25" s="378"/>
      <c r="E25" s="378"/>
      <c r="F25" s="378"/>
      <c r="G25" s="378"/>
      <c r="H25" s="378"/>
      <c r="I25" s="378"/>
      <c r="J25" s="147"/>
    </row>
    <row r="26" spans="1:16" ht="13.5" customHeight="1" x14ac:dyDescent="0.25">
      <c r="A26" s="347" t="s">
        <v>16</v>
      </c>
      <c r="B26" s="347"/>
      <c r="C26" s="347"/>
      <c r="D26" s="347"/>
      <c r="E26" s="347"/>
      <c r="F26" s="347"/>
      <c r="G26" s="347"/>
      <c r="H26" s="347"/>
      <c r="I26" s="347"/>
      <c r="J26" s="54"/>
    </row>
    <row r="27" spans="1:16" ht="13.5" customHeight="1" x14ac:dyDescent="0.25">
      <c r="A27" s="142">
        <v>1</v>
      </c>
      <c r="B27" s="335" t="s">
        <v>17</v>
      </c>
      <c r="C27" s="335"/>
      <c r="D27" s="335"/>
      <c r="E27" s="335"/>
      <c r="F27" s="335"/>
      <c r="G27" s="335" t="s">
        <v>18</v>
      </c>
      <c r="H27" s="335"/>
      <c r="I27" s="142" t="s">
        <v>19</v>
      </c>
      <c r="J27" s="55"/>
    </row>
    <row r="28" spans="1:16" s="223" customFormat="1" ht="13.5" customHeight="1" x14ac:dyDescent="0.25">
      <c r="A28" s="219" t="s">
        <v>2</v>
      </c>
      <c r="B28" s="372" t="s">
        <v>20</v>
      </c>
      <c r="C28" s="372"/>
      <c r="D28" s="372"/>
      <c r="E28" s="372"/>
      <c r="F28" s="372"/>
      <c r="G28" s="373">
        <v>1</v>
      </c>
      <c r="H28" s="373"/>
      <c r="I28" s="220">
        <f>H22</f>
        <v>1351.36</v>
      </c>
      <c r="J28" s="221"/>
      <c r="K28" s="222"/>
      <c r="L28" s="222"/>
      <c r="M28" s="222"/>
      <c r="N28" s="222"/>
      <c r="O28" s="222"/>
      <c r="P28" s="222"/>
    </row>
    <row r="29" spans="1:16" ht="13.5" customHeight="1" x14ac:dyDescent="0.25">
      <c r="A29" s="137" t="s">
        <v>4</v>
      </c>
      <c r="B29" s="357" t="s">
        <v>21</v>
      </c>
      <c r="C29" s="357"/>
      <c r="D29" s="357"/>
      <c r="E29" s="357"/>
      <c r="F29" s="357"/>
      <c r="G29" s="370">
        <v>0</v>
      </c>
      <c r="H29" s="370"/>
      <c r="I29" s="58">
        <f>(I28*G29)</f>
        <v>0</v>
      </c>
      <c r="J29" s="59"/>
    </row>
    <row r="30" spans="1:16" ht="13.5" customHeight="1" x14ac:dyDescent="0.25">
      <c r="A30" s="137" t="s">
        <v>6</v>
      </c>
      <c r="B30" s="357" t="s">
        <v>22</v>
      </c>
      <c r="C30" s="357"/>
      <c r="D30" s="357"/>
      <c r="E30" s="357"/>
      <c r="F30" s="357"/>
      <c r="G30" s="370">
        <v>0</v>
      </c>
      <c r="H30" s="370"/>
      <c r="I30" s="56">
        <f>(I28*G30)</f>
        <v>0</v>
      </c>
      <c r="J30" s="57"/>
    </row>
    <row r="31" spans="1:16" ht="13.5" customHeight="1" x14ac:dyDescent="0.25">
      <c r="A31" s="137" t="s">
        <v>8</v>
      </c>
      <c r="B31" s="357" t="s">
        <v>23</v>
      </c>
      <c r="C31" s="357"/>
      <c r="D31" s="357"/>
      <c r="E31" s="357"/>
      <c r="F31" s="357"/>
      <c r="G31" s="370">
        <v>0</v>
      </c>
      <c r="H31" s="370"/>
      <c r="I31" s="56">
        <v>0</v>
      </c>
      <c r="J31" s="57"/>
    </row>
    <row r="32" spans="1:16" ht="13.5" customHeight="1" x14ac:dyDescent="0.25">
      <c r="A32" s="137" t="s">
        <v>24</v>
      </c>
      <c r="B32" s="357" t="s">
        <v>25</v>
      </c>
      <c r="C32" s="357"/>
      <c r="D32" s="357"/>
      <c r="E32" s="357"/>
      <c r="F32" s="357"/>
      <c r="G32" s="370">
        <v>0</v>
      </c>
      <c r="H32" s="370"/>
      <c r="I32" s="56">
        <v>0</v>
      </c>
      <c r="J32" s="57"/>
    </row>
    <row r="33" spans="1:16" ht="13.5" customHeight="1" x14ac:dyDescent="0.25">
      <c r="A33" s="137" t="s">
        <v>26</v>
      </c>
      <c r="B33" s="357" t="s">
        <v>27</v>
      </c>
      <c r="C33" s="357"/>
      <c r="D33" s="357"/>
      <c r="E33" s="357"/>
      <c r="F33" s="357"/>
      <c r="G33" s="370">
        <v>0</v>
      </c>
      <c r="H33" s="370"/>
      <c r="I33" s="56">
        <v>0</v>
      </c>
      <c r="J33" s="57"/>
    </row>
    <row r="34" spans="1:16" ht="13.5" customHeight="1" x14ac:dyDescent="0.25">
      <c r="A34" s="137" t="s">
        <v>28</v>
      </c>
      <c r="B34" s="349" t="s">
        <v>29</v>
      </c>
      <c r="C34" s="349"/>
      <c r="D34" s="349"/>
      <c r="E34" s="349"/>
      <c r="F34" s="349"/>
      <c r="G34" s="370">
        <v>0</v>
      </c>
      <c r="H34" s="370"/>
      <c r="I34" s="56">
        <v>0</v>
      </c>
      <c r="J34" s="57"/>
    </row>
    <row r="35" spans="1:16" ht="13.5" customHeight="1" x14ac:dyDescent="0.25">
      <c r="A35" s="335" t="s">
        <v>30</v>
      </c>
      <c r="B35" s="335"/>
      <c r="C35" s="335"/>
      <c r="D35" s="335"/>
      <c r="E35" s="335"/>
      <c r="F35" s="335"/>
      <c r="G35" s="335"/>
      <c r="H35" s="335"/>
      <c r="I35" s="60">
        <f>SUM(I28:I34)</f>
        <v>1351.36</v>
      </c>
      <c r="J35" s="61"/>
    </row>
    <row r="36" spans="1:16" x14ac:dyDescent="0.25">
      <c r="A36" s="371"/>
      <c r="B36" s="371"/>
      <c r="C36" s="371"/>
      <c r="D36" s="371"/>
      <c r="E36" s="371"/>
      <c r="F36" s="371"/>
      <c r="G36" s="371"/>
      <c r="H36" s="371"/>
      <c r="I36" s="371"/>
      <c r="J36" s="149"/>
    </row>
    <row r="37" spans="1:16" ht="13.5" customHeight="1" x14ac:dyDescent="0.25">
      <c r="A37" s="347" t="s">
        <v>127</v>
      </c>
      <c r="B37" s="347"/>
      <c r="C37" s="347"/>
      <c r="D37" s="347"/>
      <c r="E37" s="347"/>
      <c r="F37" s="347"/>
      <c r="G37" s="347"/>
      <c r="H37" s="347"/>
      <c r="I37" s="347"/>
      <c r="J37" s="54"/>
    </row>
    <row r="38" spans="1:16" ht="13.5" customHeight="1" x14ac:dyDescent="0.25">
      <c r="A38" s="142" t="s">
        <v>31</v>
      </c>
      <c r="B38" s="359" t="s">
        <v>32</v>
      </c>
      <c r="C38" s="359"/>
      <c r="D38" s="359"/>
      <c r="E38" s="359"/>
      <c r="F38" s="359"/>
      <c r="G38" s="359"/>
      <c r="H38" s="142" t="s">
        <v>18</v>
      </c>
      <c r="I38" s="142" t="s">
        <v>19</v>
      </c>
      <c r="J38" s="55"/>
    </row>
    <row r="39" spans="1:16" ht="13.5" customHeight="1" x14ac:dyDescent="0.25">
      <c r="A39" s="137" t="s">
        <v>2</v>
      </c>
      <c r="B39" s="358" t="s">
        <v>33</v>
      </c>
      <c r="C39" s="358"/>
      <c r="D39" s="358"/>
      <c r="E39" s="358"/>
      <c r="F39" s="358"/>
      <c r="G39" s="358"/>
      <c r="H39" s="148">
        <f>(1/12)*1</f>
        <v>8.3333333333333329E-2</v>
      </c>
      <c r="I39" s="56">
        <f>$I$35*H39</f>
        <v>112.61333333333332</v>
      </c>
      <c r="J39" s="57"/>
    </row>
    <row r="40" spans="1:16" ht="13.5" customHeight="1" x14ac:dyDescent="0.25">
      <c r="A40" s="137" t="s">
        <v>4</v>
      </c>
      <c r="B40" s="358" t="s">
        <v>34</v>
      </c>
      <c r="C40" s="358"/>
      <c r="D40" s="358"/>
      <c r="E40" s="358"/>
      <c r="F40" s="358"/>
      <c r="G40" s="358"/>
      <c r="H40" s="148">
        <f>((1+1/3)/12)*1</f>
        <v>0.1111111111111111</v>
      </c>
      <c r="I40" s="56">
        <f>$I$35*H40</f>
        <v>150.15111111111108</v>
      </c>
      <c r="J40" s="57"/>
    </row>
    <row r="41" spans="1:16" ht="13.5" customHeight="1" x14ac:dyDescent="0.25">
      <c r="A41" s="62"/>
      <c r="B41" s="335" t="s">
        <v>35</v>
      </c>
      <c r="C41" s="335"/>
      <c r="D41" s="335"/>
      <c r="E41" s="335"/>
      <c r="F41" s="335"/>
      <c r="G41" s="335"/>
      <c r="H41" s="63">
        <f>SUM(H39:H40)</f>
        <v>0.19444444444444442</v>
      </c>
      <c r="I41" s="64">
        <f>SUM(I39:I40)</f>
        <v>262.76444444444439</v>
      </c>
      <c r="J41" s="65"/>
      <c r="K41" s="31">
        <f>H52*H41</f>
        <v>6.9766666666666671E-2</v>
      </c>
    </row>
    <row r="42" spans="1:16" ht="9.75" customHeight="1" x14ac:dyDescent="0.25">
      <c r="A42" s="141"/>
      <c r="B42" s="141"/>
      <c r="C42" s="141"/>
      <c r="D42" s="141"/>
      <c r="E42" s="141"/>
      <c r="F42" s="141"/>
      <c r="G42" s="141"/>
      <c r="H42" s="141"/>
      <c r="I42" s="66"/>
      <c r="J42" s="66"/>
    </row>
    <row r="43" spans="1:16" ht="13.5" customHeight="1" x14ac:dyDescent="0.25">
      <c r="A43" s="142" t="s">
        <v>36</v>
      </c>
      <c r="B43" s="359" t="s">
        <v>37</v>
      </c>
      <c r="C43" s="359"/>
      <c r="D43" s="359"/>
      <c r="E43" s="359"/>
      <c r="F43" s="359"/>
      <c r="G43" s="359"/>
      <c r="H43" s="142" t="s">
        <v>18</v>
      </c>
      <c r="I43" s="142" t="s">
        <v>19</v>
      </c>
      <c r="J43" s="55"/>
    </row>
    <row r="44" spans="1:16" ht="13.5" customHeight="1" x14ac:dyDescent="0.25">
      <c r="A44" s="137" t="s">
        <v>2</v>
      </c>
      <c r="B44" s="358" t="s">
        <v>38</v>
      </c>
      <c r="C44" s="358"/>
      <c r="D44" s="358"/>
      <c r="E44" s="358"/>
      <c r="F44" s="358"/>
      <c r="G44" s="358"/>
      <c r="H44" s="128">
        <v>0.2</v>
      </c>
      <c r="I44" s="56">
        <f>SUM($I$35,$I$41)*H44</f>
        <v>322.82488888888884</v>
      </c>
      <c r="J44" s="57"/>
    </row>
    <row r="45" spans="1:16" ht="13.5" customHeight="1" x14ac:dyDescent="0.25">
      <c r="A45" s="137" t="s">
        <v>4</v>
      </c>
      <c r="B45" s="358" t="s">
        <v>39</v>
      </c>
      <c r="C45" s="358"/>
      <c r="D45" s="358"/>
      <c r="E45" s="358"/>
      <c r="F45" s="358"/>
      <c r="G45" s="358"/>
      <c r="H45" s="67">
        <v>2.5000000000000001E-2</v>
      </c>
      <c r="I45" s="56">
        <f t="shared" ref="I45:I51" si="0">SUM($I$35,$I$41)*H45</f>
        <v>40.353111111111104</v>
      </c>
      <c r="J45" s="57"/>
    </row>
    <row r="46" spans="1:16" s="83" customFormat="1" ht="13.5" customHeight="1" x14ac:dyDescent="0.25">
      <c r="A46" s="205" t="s">
        <v>6</v>
      </c>
      <c r="B46" s="364" t="s">
        <v>40</v>
      </c>
      <c r="C46" s="364"/>
      <c r="D46" s="364"/>
      <c r="E46" s="364"/>
      <c r="F46" s="364"/>
      <c r="G46" s="364"/>
      <c r="H46" s="207">
        <v>2.0799999999999999E-2</v>
      </c>
      <c r="I46" s="81">
        <f t="shared" si="0"/>
        <v>33.573788444444439</v>
      </c>
      <c r="J46" s="82"/>
      <c r="K46" s="21"/>
      <c r="L46" s="21"/>
      <c r="M46" s="21"/>
      <c r="N46" s="21"/>
      <c r="O46" s="21"/>
      <c r="P46" s="21"/>
    </row>
    <row r="47" spans="1:16" ht="13.5" customHeight="1" x14ac:dyDescent="0.25">
      <c r="A47" s="137" t="s">
        <v>8</v>
      </c>
      <c r="B47" s="358" t="s">
        <v>41</v>
      </c>
      <c r="C47" s="358"/>
      <c r="D47" s="358"/>
      <c r="E47" s="358"/>
      <c r="F47" s="358"/>
      <c r="G47" s="358"/>
      <c r="H47" s="68">
        <v>1.4999999999999999E-2</v>
      </c>
      <c r="I47" s="56">
        <f t="shared" si="0"/>
        <v>24.211866666666662</v>
      </c>
      <c r="J47" s="57"/>
    </row>
    <row r="48" spans="1:16" ht="13.5" customHeight="1" x14ac:dyDescent="0.25">
      <c r="A48" s="137" t="s">
        <v>24</v>
      </c>
      <c r="B48" s="358" t="s">
        <v>42</v>
      </c>
      <c r="C48" s="358"/>
      <c r="D48" s="358"/>
      <c r="E48" s="358"/>
      <c r="F48" s="358"/>
      <c r="G48" s="358"/>
      <c r="H48" s="68">
        <v>0.01</v>
      </c>
      <c r="I48" s="56">
        <f t="shared" si="0"/>
        <v>16.141244444444443</v>
      </c>
      <c r="J48" s="57"/>
    </row>
    <row r="49" spans="1:16" ht="13.5" customHeight="1" x14ac:dyDescent="0.25">
      <c r="A49" s="137" t="s">
        <v>26</v>
      </c>
      <c r="B49" s="358" t="s">
        <v>43</v>
      </c>
      <c r="C49" s="358"/>
      <c r="D49" s="358"/>
      <c r="E49" s="358"/>
      <c r="F49" s="358"/>
      <c r="G49" s="358"/>
      <c r="H49" s="68">
        <v>6.0000000000000001E-3</v>
      </c>
      <c r="I49" s="56">
        <f t="shared" si="0"/>
        <v>9.6847466666666655</v>
      </c>
      <c r="J49" s="57"/>
    </row>
    <row r="50" spans="1:16" ht="13.5" customHeight="1" x14ac:dyDescent="0.25">
      <c r="A50" s="137" t="s">
        <v>28</v>
      </c>
      <c r="B50" s="358" t="s">
        <v>44</v>
      </c>
      <c r="C50" s="358"/>
      <c r="D50" s="358"/>
      <c r="E50" s="358"/>
      <c r="F50" s="358"/>
      <c r="G50" s="358"/>
      <c r="H50" s="68">
        <v>2E-3</v>
      </c>
      <c r="I50" s="56">
        <f t="shared" si="0"/>
        <v>3.2282488888888885</v>
      </c>
      <c r="J50" s="57"/>
    </row>
    <row r="51" spans="1:16" ht="13.5" customHeight="1" x14ac:dyDescent="0.25">
      <c r="A51" s="137" t="s">
        <v>45</v>
      </c>
      <c r="B51" s="358" t="s">
        <v>46</v>
      </c>
      <c r="C51" s="358"/>
      <c r="D51" s="358"/>
      <c r="E51" s="358"/>
      <c r="F51" s="358"/>
      <c r="G51" s="358"/>
      <c r="H51" s="68">
        <v>0.08</v>
      </c>
      <c r="I51" s="56">
        <f t="shared" si="0"/>
        <v>129.12995555555554</v>
      </c>
      <c r="J51" s="57"/>
    </row>
    <row r="52" spans="1:16" ht="13.5" customHeight="1" x14ac:dyDescent="0.25">
      <c r="A52" s="336" t="s">
        <v>47</v>
      </c>
      <c r="B52" s="337"/>
      <c r="C52" s="337"/>
      <c r="D52" s="337"/>
      <c r="E52" s="337"/>
      <c r="F52" s="337"/>
      <c r="G52" s="338"/>
      <c r="H52" s="63">
        <f>SUM(H44:H51)</f>
        <v>0.35880000000000006</v>
      </c>
      <c r="I52" s="69">
        <f>SUM(I44:I51)</f>
        <v>579.14785066666661</v>
      </c>
      <c r="J52" s="70"/>
    </row>
    <row r="53" spans="1:16" ht="10.5" customHeight="1" x14ac:dyDescent="0.25">
      <c r="A53" s="141"/>
      <c r="B53" s="141"/>
      <c r="C53" s="141"/>
      <c r="D53" s="141"/>
      <c r="E53" s="141"/>
      <c r="F53" s="141"/>
      <c r="G53" s="141"/>
      <c r="H53" s="141"/>
      <c r="I53" s="71"/>
      <c r="J53" s="71"/>
    </row>
    <row r="54" spans="1:16" ht="13.5" customHeight="1" x14ac:dyDescent="0.25">
      <c r="A54" s="142" t="s">
        <v>48</v>
      </c>
      <c r="B54" s="359" t="s">
        <v>49</v>
      </c>
      <c r="C54" s="359"/>
      <c r="D54" s="359"/>
      <c r="E54" s="359"/>
      <c r="F54" s="359"/>
      <c r="G54" s="359"/>
      <c r="H54" s="142" t="s">
        <v>50</v>
      </c>
      <c r="I54" s="142" t="s">
        <v>19</v>
      </c>
      <c r="J54" s="55"/>
    </row>
    <row r="55" spans="1:16" s="223" customFormat="1" ht="13.5" customHeight="1" x14ac:dyDescent="0.25">
      <c r="A55" s="219" t="s">
        <v>2</v>
      </c>
      <c r="B55" s="367" t="s">
        <v>324</v>
      </c>
      <c r="C55" s="367"/>
      <c r="D55" s="367"/>
      <c r="E55" s="367"/>
      <c r="F55" s="367"/>
      <c r="G55" s="367"/>
      <c r="H55" s="225">
        <v>5</v>
      </c>
      <c r="I55" s="226">
        <f>(H55*2*22)-(I28*6%)</f>
        <v>138.91840000000002</v>
      </c>
      <c r="J55" s="227"/>
      <c r="K55" s="224"/>
      <c r="L55" s="222"/>
      <c r="M55" s="222"/>
      <c r="N55" s="222"/>
      <c r="O55" s="222"/>
      <c r="P55" s="222"/>
    </row>
    <row r="56" spans="1:16" s="223" customFormat="1" ht="13.5" customHeight="1" x14ac:dyDescent="0.25">
      <c r="A56" s="219" t="s">
        <v>4</v>
      </c>
      <c r="B56" s="367" t="s">
        <v>322</v>
      </c>
      <c r="C56" s="367"/>
      <c r="D56" s="367"/>
      <c r="E56" s="367"/>
      <c r="F56" s="367"/>
      <c r="G56" s="367"/>
      <c r="H56" s="225">
        <v>412.05</v>
      </c>
      <c r="I56" s="220">
        <f>H56</f>
        <v>412.05</v>
      </c>
      <c r="J56" s="221"/>
      <c r="K56" s="222"/>
      <c r="L56" s="222"/>
      <c r="M56" s="222"/>
      <c r="N56" s="222"/>
      <c r="O56" s="222"/>
      <c r="P56" s="222"/>
    </row>
    <row r="57" spans="1:16" ht="13.5" customHeight="1" x14ac:dyDescent="0.25">
      <c r="A57" s="137" t="s">
        <v>6</v>
      </c>
      <c r="B57" s="369" t="s">
        <v>310</v>
      </c>
      <c r="C57" s="369"/>
      <c r="D57" s="369"/>
      <c r="E57" s="369"/>
      <c r="F57" s="369"/>
      <c r="G57" s="369"/>
      <c r="H57" s="73">
        <v>141.68</v>
      </c>
      <c r="I57" s="177">
        <f>(H57*40%)</f>
        <v>56.672000000000004</v>
      </c>
      <c r="J57" s="57"/>
      <c r="K57" s="166"/>
    </row>
    <row r="58" spans="1:16" ht="13.5" customHeight="1" x14ac:dyDescent="0.25">
      <c r="A58" s="136" t="s">
        <v>8</v>
      </c>
      <c r="B58" s="368" t="s">
        <v>252</v>
      </c>
      <c r="C58" s="368"/>
      <c r="D58" s="368"/>
      <c r="E58" s="368"/>
      <c r="F58" s="368"/>
      <c r="G58" s="368"/>
      <c r="H58" s="73">
        <f>I35</f>
        <v>1351.36</v>
      </c>
      <c r="I58" s="74">
        <f>(H58*26)*0.002/12</f>
        <v>5.8558933333333334</v>
      </c>
      <c r="J58" s="72"/>
    </row>
    <row r="59" spans="1:16" ht="13.5" customHeight="1" x14ac:dyDescent="0.25">
      <c r="A59" s="137" t="s">
        <v>24</v>
      </c>
      <c r="B59" s="358" t="s">
        <v>203</v>
      </c>
      <c r="C59" s="358"/>
      <c r="D59" s="358"/>
      <c r="E59" s="358"/>
      <c r="F59" s="358"/>
      <c r="G59" s="358"/>
      <c r="H59" s="73">
        <v>0</v>
      </c>
      <c r="I59" s="74">
        <f>(H59*6*0.02)/12</f>
        <v>0</v>
      </c>
      <c r="J59" s="72"/>
    </row>
    <row r="60" spans="1:16" ht="13.5" customHeight="1" x14ac:dyDescent="0.25">
      <c r="A60" s="137" t="s">
        <v>26</v>
      </c>
      <c r="B60" s="369" t="s">
        <v>202</v>
      </c>
      <c r="C60" s="369"/>
      <c r="D60" s="369"/>
      <c r="E60" s="369"/>
      <c r="F60" s="369"/>
      <c r="G60" s="369"/>
      <c r="H60" s="75">
        <v>0</v>
      </c>
      <c r="I60" s="76">
        <f>H60</f>
        <v>0</v>
      </c>
      <c r="J60" s="77"/>
    </row>
    <row r="61" spans="1:16" ht="13.5" customHeight="1" x14ac:dyDescent="0.25">
      <c r="A61" s="137" t="s">
        <v>28</v>
      </c>
      <c r="B61" s="358" t="s">
        <v>51</v>
      </c>
      <c r="C61" s="358"/>
      <c r="D61" s="358"/>
      <c r="E61" s="358"/>
      <c r="F61" s="358"/>
      <c r="G61" s="358"/>
      <c r="H61" s="73">
        <v>0</v>
      </c>
      <c r="I61" s="56">
        <f>H61</f>
        <v>0</v>
      </c>
      <c r="J61" s="57"/>
    </row>
    <row r="62" spans="1:16" s="78" customFormat="1" ht="13.5" customHeight="1" x14ac:dyDescent="0.25">
      <c r="A62" s="146" t="s">
        <v>45</v>
      </c>
      <c r="B62" s="369" t="s">
        <v>209</v>
      </c>
      <c r="C62" s="369"/>
      <c r="D62" s="369"/>
      <c r="E62" s="369"/>
      <c r="F62" s="369"/>
      <c r="G62" s="369"/>
      <c r="H62" s="75">
        <v>0</v>
      </c>
      <c r="I62" s="76">
        <f>H62</f>
        <v>0</v>
      </c>
      <c r="J62" s="77"/>
      <c r="K62" s="32"/>
      <c r="L62" s="32"/>
      <c r="M62" s="32"/>
      <c r="N62" s="32"/>
      <c r="O62" s="32"/>
      <c r="P62" s="32"/>
    </row>
    <row r="63" spans="1:16" ht="13.5" customHeight="1" x14ac:dyDescent="0.25">
      <c r="A63" s="336" t="s">
        <v>52</v>
      </c>
      <c r="B63" s="337"/>
      <c r="C63" s="337"/>
      <c r="D63" s="337"/>
      <c r="E63" s="337"/>
      <c r="F63" s="337"/>
      <c r="G63" s="337"/>
      <c r="H63" s="338"/>
      <c r="I63" s="69">
        <f>TRUNC(SUM(I55:I62),2)</f>
        <v>613.49</v>
      </c>
      <c r="J63" s="70"/>
    </row>
    <row r="64" spans="1:16" ht="12" customHeight="1" x14ac:dyDescent="0.25">
      <c r="A64" s="141"/>
      <c r="B64" s="141"/>
      <c r="C64" s="141"/>
      <c r="D64" s="141"/>
      <c r="E64" s="141"/>
      <c r="F64" s="141"/>
      <c r="G64" s="141"/>
      <c r="H64" s="141"/>
      <c r="I64" s="71"/>
      <c r="J64" s="71"/>
    </row>
    <row r="65" spans="1:16" ht="13.5" customHeight="1" x14ac:dyDescent="0.25">
      <c r="A65" s="335" t="s">
        <v>53</v>
      </c>
      <c r="B65" s="335"/>
      <c r="C65" s="335"/>
      <c r="D65" s="335"/>
      <c r="E65" s="335"/>
      <c r="F65" s="335"/>
      <c r="G65" s="335"/>
      <c r="H65" s="335"/>
      <c r="I65" s="335"/>
      <c r="J65" s="55"/>
    </row>
    <row r="66" spans="1:16" ht="13.5" customHeight="1" x14ac:dyDescent="0.25">
      <c r="A66" s="79" t="s">
        <v>31</v>
      </c>
      <c r="B66" s="368" t="s">
        <v>54</v>
      </c>
      <c r="C66" s="368"/>
      <c r="D66" s="368"/>
      <c r="E66" s="368"/>
      <c r="F66" s="368"/>
      <c r="G66" s="368"/>
      <c r="H66" s="368"/>
      <c r="I66" s="56">
        <f>I41</f>
        <v>262.76444444444439</v>
      </c>
      <c r="J66" s="57"/>
    </row>
    <row r="67" spans="1:16" ht="13.5" customHeight="1" x14ac:dyDescent="0.25">
      <c r="A67" s="79" t="s">
        <v>36</v>
      </c>
      <c r="B67" s="358" t="s">
        <v>55</v>
      </c>
      <c r="C67" s="358"/>
      <c r="D67" s="358"/>
      <c r="E67" s="358"/>
      <c r="F67" s="358"/>
      <c r="G67" s="358"/>
      <c r="H67" s="358"/>
      <c r="I67" s="56">
        <f>I52</f>
        <v>579.14785066666661</v>
      </c>
      <c r="J67" s="57"/>
    </row>
    <row r="68" spans="1:16" ht="13.5" customHeight="1" x14ac:dyDescent="0.25">
      <c r="A68" s="79" t="s">
        <v>48</v>
      </c>
      <c r="B68" s="358" t="s">
        <v>56</v>
      </c>
      <c r="C68" s="358"/>
      <c r="D68" s="358"/>
      <c r="E68" s="358"/>
      <c r="F68" s="358"/>
      <c r="G68" s="358"/>
      <c r="H68" s="358"/>
      <c r="I68" s="56">
        <f>I63</f>
        <v>613.49</v>
      </c>
      <c r="J68" s="57"/>
    </row>
    <row r="69" spans="1:16" ht="13.5" customHeight="1" x14ac:dyDescent="0.25">
      <c r="A69" s="335" t="s">
        <v>57</v>
      </c>
      <c r="B69" s="335"/>
      <c r="C69" s="335"/>
      <c r="D69" s="335"/>
      <c r="E69" s="335"/>
      <c r="F69" s="335"/>
      <c r="G69" s="335"/>
      <c r="H69" s="335"/>
      <c r="I69" s="60">
        <f>SUM(I66:I68)</f>
        <v>1455.402295111111</v>
      </c>
      <c r="J69" s="61"/>
    </row>
    <row r="70" spans="1:16" x14ac:dyDescent="0.25">
      <c r="A70" s="141"/>
      <c r="B70" s="141"/>
      <c r="C70" s="141"/>
      <c r="D70" s="141"/>
      <c r="E70" s="141"/>
      <c r="F70" s="141"/>
      <c r="G70" s="141"/>
      <c r="H70" s="141"/>
      <c r="I70" s="71"/>
      <c r="J70" s="71"/>
    </row>
    <row r="71" spans="1:16" ht="13.5" customHeight="1" x14ac:dyDescent="0.25">
      <c r="A71" s="347" t="s">
        <v>125</v>
      </c>
      <c r="B71" s="347"/>
      <c r="C71" s="347"/>
      <c r="D71" s="347"/>
      <c r="E71" s="347"/>
      <c r="F71" s="347"/>
      <c r="G71" s="347"/>
      <c r="H71" s="347"/>
      <c r="I71" s="347"/>
      <c r="J71" s="54"/>
    </row>
    <row r="72" spans="1:16" ht="13.5" customHeight="1" x14ac:dyDescent="0.25">
      <c r="A72" s="203">
        <v>3</v>
      </c>
      <c r="B72" s="366" t="s">
        <v>58</v>
      </c>
      <c r="C72" s="366"/>
      <c r="D72" s="366"/>
      <c r="E72" s="366"/>
      <c r="F72" s="366"/>
      <c r="G72" s="366"/>
      <c r="H72" s="203" t="s">
        <v>18</v>
      </c>
      <c r="I72" s="203" t="s">
        <v>19</v>
      </c>
      <c r="J72" s="55"/>
    </row>
    <row r="73" spans="1:16" s="249" customFormat="1" ht="13.5" customHeight="1" x14ac:dyDescent="0.25">
      <c r="A73" s="219" t="s">
        <v>2</v>
      </c>
      <c r="B73" s="367" t="s">
        <v>59</v>
      </c>
      <c r="C73" s="367"/>
      <c r="D73" s="367"/>
      <c r="E73" s="367"/>
      <c r="F73" s="367"/>
      <c r="G73" s="367"/>
      <c r="H73" s="250">
        <f>0.05*(1/12)/30*3</f>
        <v>4.1666666666666664E-4</v>
      </c>
      <c r="I73" s="220">
        <f t="shared" ref="I73:I78" si="1">$I$35*H73</f>
        <v>0.5630666666666666</v>
      </c>
      <c r="J73" s="247"/>
      <c r="K73" s="248"/>
      <c r="L73" s="248"/>
      <c r="M73" s="248"/>
      <c r="N73" s="248"/>
      <c r="O73" s="248"/>
      <c r="P73" s="248"/>
    </row>
    <row r="74" spans="1:16" s="83" customFormat="1" ht="13.5" customHeight="1" x14ac:dyDescent="0.25">
      <c r="A74" s="201" t="s">
        <v>4</v>
      </c>
      <c r="B74" s="364" t="s">
        <v>60</v>
      </c>
      <c r="C74" s="364"/>
      <c r="D74" s="364"/>
      <c r="E74" s="364"/>
      <c r="F74" s="364"/>
      <c r="G74" s="364"/>
      <c r="H74" s="84">
        <f>H51*H73</f>
        <v>3.3333333333333335E-5</v>
      </c>
      <c r="I74" s="81">
        <f t="shared" si="1"/>
        <v>4.5045333333333333E-2</v>
      </c>
      <c r="J74" s="82"/>
      <c r="K74" s="21"/>
      <c r="L74" s="21"/>
      <c r="M74" s="21"/>
      <c r="N74" s="21"/>
      <c r="O74" s="21"/>
      <c r="P74" s="21"/>
    </row>
    <row r="75" spans="1:16" s="83" customFormat="1" ht="13.5" customHeight="1" x14ac:dyDescent="0.25">
      <c r="A75" s="201" t="s">
        <v>6</v>
      </c>
      <c r="B75" s="364" t="s">
        <v>61</v>
      </c>
      <c r="C75" s="364"/>
      <c r="D75" s="364"/>
      <c r="E75" s="364"/>
      <c r="F75" s="364"/>
      <c r="G75" s="364"/>
      <c r="H75" s="84">
        <f>40%*H51*5%</f>
        <v>1.6000000000000001E-3</v>
      </c>
      <c r="I75" s="81">
        <f t="shared" si="1"/>
        <v>2.1621760000000001</v>
      </c>
      <c r="J75" s="82"/>
      <c r="K75" s="21"/>
      <c r="L75" s="21"/>
      <c r="M75" s="21"/>
      <c r="N75" s="21"/>
      <c r="O75" s="21"/>
      <c r="P75" s="21"/>
    </row>
    <row r="76" spans="1:16" s="249" customFormat="1" ht="13.5" customHeight="1" x14ac:dyDescent="0.25">
      <c r="A76" s="219" t="s">
        <v>8</v>
      </c>
      <c r="B76" s="367" t="s">
        <v>62</v>
      </c>
      <c r="C76" s="367"/>
      <c r="D76" s="367"/>
      <c r="E76" s="367"/>
      <c r="F76" s="367"/>
      <c r="G76" s="367"/>
      <c r="H76" s="246">
        <f>(1/30)*7/12*100%/30*3</f>
        <v>1.9444444444444444E-3</v>
      </c>
      <c r="I76" s="220">
        <f t="shared" si="1"/>
        <v>2.627644444444444</v>
      </c>
      <c r="J76" s="247"/>
      <c r="K76" s="248"/>
      <c r="L76" s="248"/>
      <c r="M76" s="248"/>
      <c r="N76" s="248"/>
      <c r="O76" s="248"/>
      <c r="P76" s="248"/>
    </row>
    <row r="77" spans="1:16" s="83" customFormat="1" ht="13.5" customHeight="1" x14ac:dyDescent="0.25">
      <c r="A77" s="201" t="s">
        <v>24</v>
      </c>
      <c r="B77" s="364" t="s">
        <v>63</v>
      </c>
      <c r="C77" s="364"/>
      <c r="D77" s="364"/>
      <c r="E77" s="364"/>
      <c r="F77" s="364"/>
      <c r="G77" s="364"/>
      <c r="H77" s="85">
        <f>H52*H76</f>
        <v>6.9766666666666675E-4</v>
      </c>
      <c r="I77" s="81">
        <f t="shared" si="1"/>
        <v>0.9427988266666667</v>
      </c>
      <c r="J77" s="82"/>
      <c r="K77" s="21"/>
      <c r="L77" s="21"/>
      <c r="M77" s="21"/>
      <c r="N77" s="21"/>
      <c r="O77" s="21"/>
      <c r="P77" s="21"/>
    </row>
    <row r="78" spans="1:16" s="83" customFormat="1" ht="13.5" customHeight="1" x14ac:dyDescent="0.25">
      <c r="A78" s="201" t="s">
        <v>26</v>
      </c>
      <c r="B78" s="364" t="s">
        <v>64</v>
      </c>
      <c r="C78" s="364"/>
      <c r="D78" s="364"/>
      <c r="E78" s="364"/>
      <c r="F78" s="364"/>
      <c r="G78" s="364"/>
      <c r="H78" s="80">
        <f>40%*H51*95%</f>
        <v>3.04E-2</v>
      </c>
      <c r="I78" s="81">
        <f t="shared" si="1"/>
        <v>41.081343999999994</v>
      </c>
      <c r="J78" s="82"/>
      <c r="K78" s="129"/>
      <c r="L78" s="21"/>
      <c r="M78" s="21"/>
      <c r="N78" s="21"/>
      <c r="O78" s="21"/>
      <c r="P78" s="21"/>
    </row>
    <row r="79" spans="1:16" ht="13.5" customHeight="1" x14ac:dyDescent="0.25">
      <c r="A79" s="336" t="s">
        <v>65</v>
      </c>
      <c r="B79" s="337"/>
      <c r="C79" s="337"/>
      <c r="D79" s="337"/>
      <c r="E79" s="337"/>
      <c r="F79" s="337"/>
      <c r="G79" s="338"/>
      <c r="H79" s="63">
        <f>SUM(H73:H78)</f>
        <v>3.5092111111111109E-2</v>
      </c>
      <c r="I79" s="60">
        <f>SUM(I73:I78)</f>
        <v>47.422075271111105</v>
      </c>
      <c r="J79" s="61"/>
    </row>
    <row r="80" spans="1:16" x14ac:dyDescent="0.25">
      <c r="A80" s="141"/>
      <c r="B80" s="365"/>
      <c r="C80" s="365"/>
      <c r="D80" s="365"/>
      <c r="E80" s="365"/>
      <c r="F80" s="365"/>
      <c r="G80" s="365"/>
      <c r="H80" s="365"/>
      <c r="I80" s="144"/>
      <c r="J80" s="144"/>
    </row>
    <row r="81" spans="1:16" ht="13.5" customHeight="1" x14ac:dyDescent="0.25">
      <c r="A81" s="347" t="s">
        <v>126</v>
      </c>
      <c r="B81" s="347"/>
      <c r="C81" s="347"/>
      <c r="D81" s="347"/>
      <c r="E81" s="347"/>
      <c r="F81" s="347"/>
      <c r="G81" s="347"/>
      <c r="H81" s="347"/>
      <c r="I81" s="347"/>
      <c r="J81" s="54"/>
    </row>
    <row r="82" spans="1:16" ht="13.5" customHeight="1" x14ac:dyDescent="0.25">
      <c r="A82" s="142" t="s">
        <v>66</v>
      </c>
      <c r="B82" s="359" t="s">
        <v>67</v>
      </c>
      <c r="C82" s="359"/>
      <c r="D82" s="359"/>
      <c r="E82" s="359"/>
      <c r="F82" s="359"/>
      <c r="G82" s="359"/>
      <c r="H82" s="142" t="s">
        <v>18</v>
      </c>
      <c r="I82" s="142" t="s">
        <v>19</v>
      </c>
      <c r="J82" s="55"/>
    </row>
    <row r="83" spans="1:16" ht="13.5" customHeight="1" x14ac:dyDescent="0.25">
      <c r="A83" s="137" t="s">
        <v>2</v>
      </c>
      <c r="B83" s="334" t="s">
        <v>68</v>
      </c>
      <c r="C83" s="334"/>
      <c r="D83" s="334"/>
      <c r="E83" s="334"/>
      <c r="F83" s="334"/>
      <c r="G83" s="334"/>
      <c r="H83" s="86">
        <f>(( 1+1/3)/12)/12</f>
        <v>9.2592592592592587E-3</v>
      </c>
      <c r="I83" s="56">
        <f>SUM($I$35,$I$69,$I$79)*H83</f>
        <v>26.427633059094646</v>
      </c>
      <c r="J83" s="57"/>
    </row>
    <row r="84" spans="1:16" s="223" customFormat="1" ht="13.5" customHeight="1" x14ac:dyDescent="0.25">
      <c r="A84" s="219" t="s">
        <v>4</v>
      </c>
      <c r="B84" s="355" t="s">
        <v>69</v>
      </c>
      <c r="C84" s="355"/>
      <c r="D84" s="355"/>
      <c r="E84" s="355"/>
      <c r="F84" s="355"/>
      <c r="G84" s="355"/>
      <c r="H84" s="250">
        <v>0</v>
      </c>
      <c r="I84" s="220">
        <f>SUM($I$35,$I$69,$I$79)*H84</f>
        <v>0</v>
      </c>
      <c r="J84" s="221"/>
      <c r="K84" s="222"/>
      <c r="L84" s="222"/>
      <c r="M84" s="222"/>
      <c r="N84" s="222"/>
      <c r="O84" s="222"/>
      <c r="P84" s="222"/>
    </row>
    <row r="85" spans="1:16" s="223" customFormat="1" ht="13.5" customHeight="1" x14ac:dyDescent="0.25">
      <c r="A85" s="219" t="s">
        <v>6</v>
      </c>
      <c r="B85" s="355" t="s">
        <v>70</v>
      </c>
      <c r="C85" s="355"/>
      <c r="D85" s="355"/>
      <c r="E85" s="355"/>
      <c r="F85" s="355"/>
      <c r="G85" s="355"/>
      <c r="H85" s="250">
        <v>0</v>
      </c>
      <c r="I85" s="220">
        <f>SUM($I$35,$I$69,$I$79)*H85</f>
        <v>0</v>
      </c>
      <c r="J85" s="221"/>
      <c r="K85" s="222"/>
      <c r="L85" s="222"/>
      <c r="M85" s="222"/>
      <c r="N85" s="222"/>
      <c r="O85" s="222"/>
      <c r="P85" s="222"/>
    </row>
    <row r="86" spans="1:16" s="223" customFormat="1" ht="13.5" customHeight="1" x14ac:dyDescent="0.25">
      <c r="A86" s="219" t="s">
        <v>8</v>
      </c>
      <c r="B86" s="355" t="s">
        <v>71</v>
      </c>
      <c r="C86" s="355"/>
      <c r="D86" s="355"/>
      <c r="E86" s="355"/>
      <c r="F86" s="355"/>
      <c r="G86" s="355"/>
      <c r="H86" s="250">
        <v>0</v>
      </c>
      <c r="I86" s="220">
        <f>SUM($I$35,$I$69,$I$79)*H86</f>
        <v>0</v>
      </c>
      <c r="J86" s="221"/>
      <c r="K86" s="222"/>
      <c r="L86" s="222"/>
      <c r="M86" s="222"/>
      <c r="N86" s="222"/>
      <c r="O86" s="222"/>
      <c r="P86" s="222"/>
    </row>
    <row r="87" spans="1:16" s="223" customFormat="1" ht="13.5" customHeight="1" x14ac:dyDescent="0.25">
      <c r="A87" s="219" t="s">
        <v>24</v>
      </c>
      <c r="B87" s="355" t="s">
        <v>72</v>
      </c>
      <c r="C87" s="355"/>
      <c r="D87" s="355"/>
      <c r="E87" s="355"/>
      <c r="F87" s="355"/>
      <c r="G87" s="355"/>
      <c r="H87" s="250">
        <v>0</v>
      </c>
      <c r="I87" s="220">
        <f>SUM($I$35,$I$69,$I$79)*H87</f>
        <v>0</v>
      </c>
      <c r="J87" s="221"/>
      <c r="K87" s="222"/>
      <c r="L87" s="222"/>
      <c r="M87" s="222"/>
      <c r="N87" s="222"/>
      <c r="O87" s="222"/>
      <c r="P87" s="222"/>
    </row>
    <row r="88" spans="1:16" s="223" customFormat="1" ht="13.5" customHeight="1" x14ac:dyDescent="0.25">
      <c r="A88" s="219" t="s">
        <v>26</v>
      </c>
      <c r="B88" s="355" t="s">
        <v>134</v>
      </c>
      <c r="C88" s="355"/>
      <c r="D88" s="355"/>
      <c r="E88" s="355"/>
      <c r="F88" s="355"/>
      <c r="G88" s="355"/>
      <c r="H88" s="246">
        <v>0</v>
      </c>
      <c r="I88" s="220">
        <f t="shared" ref="I88" si="2">SUM($I$35,$I$69,$I$79)*H88</f>
        <v>0</v>
      </c>
      <c r="J88" s="221"/>
      <c r="K88" s="222"/>
      <c r="L88" s="222"/>
      <c r="M88" s="222"/>
      <c r="N88" s="222"/>
      <c r="O88" s="222"/>
      <c r="P88" s="222"/>
    </row>
    <row r="89" spans="1:16" ht="13.5" customHeight="1" x14ac:dyDescent="0.25">
      <c r="A89" s="87"/>
      <c r="B89" s="359" t="s">
        <v>73</v>
      </c>
      <c r="C89" s="359"/>
      <c r="D89" s="359"/>
      <c r="E89" s="359"/>
      <c r="F89" s="359"/>
      <c r="G89" s="359"/>
      <c r="H89" s="88">
        <f>SUM(H83:H88)</f>
        <v>9.2592592592592587E-3</v>
      </c>
      <c r="I89" s="64">
        <f>SUM(I83:I88)</f>
        <v>26.427633059094646</v>
      </c>
      <c r="J89" s="65"/>
      <c r="K89" s="31"/>
      <c r="L89" s="33"/>
      <c r="M89" s="34"/>
    </row>
    <row r="90" spans="1:16" ht="5.25" customHeight="1" x14ac:dyDescent="0.25">
      <c r="A90" s="89"/>
      <c r="B90" s="329"/>
      <c r="C90" s="329"/>
      <c r="D90" s="329"/>
      <c r="E90" s="329"/>
      <c r="F90" s="329"/>
      <c r="G90" s="330"/>
      <c r="H90" s="330"/>
      <c r="I90" s="72"/>
      <c r="J90" s="72"/>
    </row>
    <row r="91" spans="1:16" ht="13.5" customHeight="1" x14ac:dyDescent="0.25">
      <c r="A91" s="142" t="s">
        <v>74</v>
      </c>
      <c r="B91" s="360" t="s">
        <v>75</v>
      </c>
      <c r="C91" s="361"/>
      <c r="D91" s="361"/>
      <c r="E91" s="361"/>
      <c r="F91" s="361"/>
      <c r="G91" s="361"/>
      <c r="H91" s="362"/>
      <c r="I91" s="142" t="s">
        <v>19</v>
      </c>
      <c r="J91" s="55"/>
    </row>
    <row r="92" spans="1:16" ht="13.5" customHeight="1" x14ac:dyDescent="0.25">
      <c r="A92" s="137" t="s">
        <v>2</v>
      </c>
      <c r="B92" s="339" t="s">
        <v>208</v>
      </c>
      <c r="C92" s="340"/>
      <c r="D92" s="340"/>
      <c r="E92" s="340"/>
      <c r="F92" s="340"/>
      <c r="G92" s="340"/>
      <c r="H92" s="363"/>
      <c r="I92" s="90">
        <v>0</v>
      </c>
      <c r="J92" s="91"/>
    </row>
    <row r="93" spans="1:16" ht="13.5" customHeight="1" x14ac:dyDescent="0.25">
      <c r="A93" s="87"/>
      <c r="B93" s="336" t="s">
        <v>76</v>
      </c>
      <c r="C93" s="337"/>
      <c r="D93" s="337"/>
      <c r="E93" s="337"/>
      <c r="F93" s="337"/>
      <c r="G93" s="337"/>
      <c r="H93" s="338"/>
      <c r="I93" s="64">
        <f>SUM(I92)</f>
        <v>0</v>
      </c>
      <c r="J93" s="65"/>
    </row>
    <row r="94" spans="1:16" x14ac:dyDescent="0.25">
      <c r="A94" s="89"/>
      <c r="B94" s="329"/>
      <c r="C94" s="329"/>
      <c r="D94" s="329"/>
      <c r="E94" s="329"/>
      <c r="F94" s="329"/>
      <c r="G94" s="330"/>
      <c r="H94" s="330"/>
      <c r="I94" s="72"/>
      <c r="J94" s="72"/>
    </row>
    <row r="95" spans="1:16" ht="13.5" customHeight="1" x14ac:dyDescent="0.25">
      <c r="A95" s="356" t="s">
        <v>77</v>
      </c>
      <c r="B95" s="356"/>
      <c r="C95" s="356"/>
      <c r="D95" s="356"/>
      <c r="E95" s="356"/>
      <c r="F95" s="356"/>
      <c r="G95" s="356"/>
      <c r="H95" s="356"/>
      <c r="I95" s="356"/>
      <c r="J95" s="49"/>
    </row>
    <row r="96" spans="1:16" ht="13.5" customHeight="1" x14ac:dyDescent="0.25">
      <c r="A96" s="79" t="s">
        <v>66</v>
      </c>
      <c r="B96" s="357" t="s">
        <v>69</v>
      </c>
      <c r="C96" s="357"/>
      <c r="D96" s="357"/>
      <c r="E96" s="357"/>
      <c r="F96" s="357"/>
      <c r="G96" s="357"/>
      <c r="H96" s="357"/>
      <c r="I96" s="56">
        <f>I89</f>
        <v>26.427633059094646</v>
      </c>
      <c r="J96" s="57"/>
    </row>
    <row r="97" spans="1:16" ht="13.5" customHeight="1" x14ac:dyDescent="0.25">
      <c r="A97" s="79" t="s">
        <v>74</v>
      </c>
      <c r="B97" s="358" t="s">
        <v>78</v>
      </c>
      <c r="C97" s="358"/>
      <c r="D97" s="358"/>
      <c r="E97" s="358"/>
      <c r="F97" s="358"/>
      <c r="G97" s="358"/>
      <c r="H97" s="358"/>
      <c r="I97" s="56">
        <f>I93</f>
        <v>0</v>
      </c>
      <c r="J97" s="57"/>
    </row>
    <row r="98" spans="1:16" ht="13.5" customHeight="1" x14ac:dyDescent="0.25">
      <c r="A98" s="335" t="s">
        <v>79</v>
      </c>
      <c r="B98" s="335"/>
      <c r="C98" s="335"/>
      <c r="D98" s="335"/>
      <c r="E98" s="335"/>
      <c r="F98" s="335"/>
      <c r="G98" s="335"/>
      <c r="H98" s="335"/>
      <c r="I98" s="60">
        <f>SUM(I96:I97)</f>
        <v>26.427633059094646</v>
      </c>
      <c r="J98" s="61"/>
    </row>
    <row r="99" spans="1:16" x14ac:dyDescent="0.25">
      <c r="A99" s="89"/>
      <c r="B99" s="329"/>
      <c r="C99" s="329"/>
      <c r="D99" s="329"/>
      <c r="E99" s="329"/>
      <c r="F99" s="329"/>
      <c r="G99" s="330"/>
      <c r="H99" s="330"/>
      <c r="I99" s="72"/>
      <c r="J99" s="72"/>
    </row>
    <row r="100" spans="1:16" ht="13.5" customHeight="1" x14ac:dyDescent="0.25">
      <c r="A100" s="347" t="s">
        <v>128</v>
      </c>
      <c r="B100" s="347"/>
      <c r="C100" s="347"/>
      <c r="D100" s="347"/>
      <c r="E100" s="347"/>
      <c r="F100" s="347"/>
      <c r="G100" s="347"/>
      <c r="H100" s="347"/>
      <c r="I100" s="347"/>
      <c r="J100" s="54"/>
    </row>
    <row r="101" spans="1:16" ht="13.5" customHeight="1" x14ac:dyDescent="0.25">
      <c r="A101" s="142">
        <v>5</v>
      </c>
      <c r="B101" s="335" t="s">
        <v>80</v>
      </c>
      <c r="C101" s="335"/>
      <c r="D101" s="335"/>
      <c r="E101" s="335"/>
      <c r="F101" s="335"/>
      <c r="G101" s="335"/>
      <c r="H101" s="335"/>
      <c r="I101" s="142" t="s">
        <v>19</v>
      </c>
      <c r="J101" s="55"/>
    </row>
    <row r="102" spans="1:16" ht="13.5" customHeight="1" x14ac:dyDescent="0.25">
      <c r="A102" s="137" t="s">
        <v>2</v>
      </c>
      <c r="B102" s="349" t="s">
        <v>142</v>
      </c>
      <c r="C102" s="349"/>
      <c r="D102" s="349"/>
      <c r="E102" s="349"/>
      <c r="F102" s="349"/>
      <c r="G102" s="349"/>
      <c r="H102" s="349"/>
      <c r="I102" s="92">
        <f>UNIF!G74</f>
        <v>38.639468420861547</v>
      </c>
      <c r="J102" s="93"/>
    </row>
    <row r="103" spans="1:16" ht="13.5" customHeight="1" x14ac:dyDescent="0.25">
      <c r="A103" s="137" t="s">
        <v>4</v>
      </c>
      <c r="B103" s="349" t="s">
        <v>81</v>
      </c>
      <c r="C103" s="349"/>
      <c r="D103" s="349"/>
      <c r="E103" s="349"/>
      <c r="F103" s="349"/>
      <c r="G103" s="349"/>
      <c r="H103" s="349"/>
      <c r="I103" s="92">
        <v>0</v>
      </c>
      <c r="J103" s="93"/>
    </row>
    <row r="104" spans="1:16" ht="13.5" customHeight="1" x14ac:dyDescent="0.25">
      <c r="A104" s="137" t="s">
        <v>6</v>
      </c>
      <c r="B104" s="349" t="s">
        <v>206</v>
      </c>
      <c r="C104" s="349"/>
      <c r="D104" s="349"/>
      <c r="E104" s="349"/>
      <c r="F104" s="349"/>
      <c r="G104" s="349"/>
      <c r="H104" s="349"/>
      <c r="I104" s="92">
        <v>0</v>
      </c>
      <c r="J104" s="93"/>
    </row>
    <row r="105" spans="1:16" s="78" customFormat="1" ht="13.5" customHeight="1" x14ac:dyDescent="0.25">
      <c r="A105" s="146" t="s">
        <v>8</v>
      </c>
      <c r="B105" s="350" t="s">
        <v>132</v>
      </c>
      <c r="C105" s="351"/>
      <c r="D105" s="351"/>
      <c r="E105" s="351"/>
      <c r="F105" s="351"/>
      <c r="G105" s="351"/>
      <c r="H105" s="352"/>
      <c r="I105" s="76">
        <v>0</v>
      </c>
      <c r="J105" s="77"/>
      <c r="K105" s="32"/>
      <c r="L105" s="32"/>
      <c r="M105" s="32"/>
      <c r="N105" s="32"/>
      <c r="O105" s="32"/>
      <c r="P105" s="32"/>
    </row>
    <row r="106" spans="1:16" ht="13.5" customHeight="1" x14ac:dyDescent="0.25">
      <c r="A106" s="335" t="s">
        <v>82</v>
      </c>
      <c r="B106" s="335"/>
      <c r="C106" s="335"/>
      <c r="D106" s="335"/>
      <c r="E106" s="335"/>
      <c r="F106" s="335"/>
      <c r="G106" s="335"/>
      <c r="H106" s="335"/>
      <c r="I106" s="60">
        <f>SUM(I102:I105)</f>
        <v>38.639468420861547</v>
      </c>
      <c r="J106" s="61"/>
    </row>
    <row r="107" spans="1:16" x14ac:dyDescent="0.25">
      <c r="A107" s="353"/>
      <c r="B107" s="353"/>
      <c r="C107" s="353"/>
      <c r="D107" s="353"/>
      <c r="E107" s="353"/>
      <c r="F107" s="353"/>
      <c r="G107" s="354"/>
      <c r="H107" s="354"/>
      <c r="I107" s="66"/>
      <c r="J107" s="66"/>
    </row>
    <row r="108" spans="1:16" ht="13.5" customHeight="1" x14ac:dyDescent="0.25">
      <c r="A108" s="347" t="s">
        <v>129</v>
      </c>
      <c r="B108" s="347"/>
      <c r="C108" s="347"/>
      <c r="D108" s="347"/>
      <c r="E108" s="347"/>
      <c r="F108" s="347"/>
      <c r="G108" s="347"/>
      <c r="H108" s="347"/>
      <c r="I108" s="347"/>
      <c r="J108" s="54"/>
    </row>
    <row r="109" spans="1:16" ht="13.5" customHeight="1" x14ac:dyDescent="0.25">
      <c r="A109" s="142">
        <v>6</v>
      </c>
      <c r="B109" s="335" t="s">
        <v>83</v>
      </c>
      <c r="C109" s="335"/>
      <c r="D109" s="335"/>
      <c r="E109" s="335"/>
      <c r="F109" s="335"/>
      <c r="G109" s="335"/>
      <c r="H109" s="142" t="s">
        <v>18</v>
      </c>
      <c r="I109" s="142" t="s">
        <v>19</v>
      </c>
      <c r="J109" s="55"/>
    </row>
    <row r="110" spans="1:16" s="83" customFormat="1" ht="13.5" customHeight="1" x14ac:dyDescent="0.25">
      <c r="A110" s="145" t="s">
        <v>2</v>
      </c>
      <c r="B110" s="348" t="s">
        <v>84</v>
      </c>
      <c r="C110" s="348"/>
      <c r="D110" s="348"/>
      <c r="E110" s="348"/>
      <c r="F110" s="348"/>
      <c r="G110" s="348"/>
      <c r="H110" s="94">
        <v>1.4999999999999999E-2</v>
      </c>
      <c r="I110" s="95">
        <f>SUM($I$129)*H110</f>
        <v>43.78877207793267</v>
      </c>
      <c r="J110" s="96"/>
      <c r="K110" s="178" t="s">
        <v>312</v>
      </c>
      <c r="L110" s="180">
        <v>4985.68</v>
      </c>
      <c r="M110" s="180"/>
      <c r="N110" s="21"/>
      <c r="O110" s="21"/>
      <c r="P110" s="21"/>
    </row>
    <row r="111" spans="1:16" s="83" customFormat="1" ht="13.5" customHeight="1" x14ac:dyDescent="0.25">
      <c r="A111" s="145" t="s">
        <v>4</v>
      </c>
      <c r="B111" s="348" t="s">
        <v>85</v>
      </c>
      <c r="C111" s="348"/>
      <c r="D111" s="348"/>
      <c r="E111" s="348"/>
      <c r="F111" s="348"/>
      <c r="G111" s="348"/>
      <c r="H111" s="94">
        <v>1.2985999999999999E-2</v>
      </c>
      <c r="I111" s="95">
        <f>SUM($I$129,I110)*H111</f>
        <v>38.478040607806278</v>
      </c>
      <c r="J111" s="96"/>
      <c r="K111" s="178" t="s">
        <v>313</v>
      </c>
      <c r="L111" s="180">
        <f>PROPOSTA!I46</f>
        <v>6420.76</v>
      </c>
      <c r="M111" s="180"/>
      <c r="N111" s="21"/>
      <c r="O111" s="21"/>
      <c r="P111" s="21"/>
    </row>
    <row r="112" spans="1:16" ht="13.5" customHeight="1" x14ac:dyDescent="0.25">
      <c r="A112" s="137"/>
      <c r="B112" s="342"/>
      <c r="C112" s="342"/>
      <c r="D112" s="342"/>
      <c r="E112" s="343" t="s">
        <v>86</v>
      </c>
      <c r="F112" s="343"/>
      <c r="G112" s="343"/>
      <c r="H112" s="343"/>
      <c r="I112" s="97"/>
      <c r="J112" s="98"/>
      <c r="L112" s="181">
        <f>L110-L111</f>
        <v>-1435.08</v>
      </c>
      <c r="M112" s="181"/>
    </row>
    <row r="113" spans="1:10" ht="13.5" customHeight="1" x14ac:dyDescent="0.25">
      <c r="A113" s="137" t="s">
        <v>6</v>
      </c>
      <c r="B113" s="344" t="s">
        <v>87</v>
      </c>
      <c r="C113" s="344"/>
      <c r="D113" s="344"/>
      <c r="E113" s="345">
        <f>SUM(H115,H116,H119)</f>
        <v>6.5060000000000007E-2</v>
      </c>
      <c r="F113" s="346"/>
      <c r="G113" s="345">
        <f>1-((H115+H116+H119))</f>
        <v>0.93493999999999999</v>
      </c>
      <c r="H113" s="346"/>
      <c r="I113" s="99"/>
      <c r="J113" s="100"/>
    </row>
    <row r="114" spans="1:10" ht="13.5" customHeight="1" x14ac:dyDescent="0.25">
      <c r="A114" s="137" t="s">
        <v>88</v>
      </c>
      <c r="B114" s="339" t="s">
        <v>89</v>
      </c>
      <c r="C114" s="340"/>
      <c r="D114" s="340"/>
      <c r="E114" s="340"/>
      <c r="F114" s="340"/>
      <c r="G114" s="340"/>
      <c r="H114" s="340"/>
      <c r="I114" s="101"/>
      <c r="J114" s="102"/>
    </row>
    <row r="115" spans="1:10" ht="13.5" customHeight="1" x14ac:dyDescent="0.25">
      <c r="A115" s="103" t="s">
        <v>90</v>
      </c>
      <c r="B115" s="341" t="s">
        <v>91</v>
      </c>
      <c r="C115" s="341"/>
      <c r="D115" s="341"/>
      <c r="E115" s="341"/>
      <c r="F115" s="341"/>
      <c r="G115" s="341"/>
      <c r="H115" s="104">
        <v>2.6800000000000001E-3</v>
      </c>
      <c r="I115" s="97">
        <f>SUM($I$129,$I$110,$I$111)*H115/(1-$E$113)</f>
        <v>8.6038344734297585</v>
      </c>
      <c r="J115" s="98"/>
    </row>
    <row r="116" spans="1:10" ht="13.5" customHeight="1" x14ac:dyDescent="0.25">
      <c r="A116" s="103" t="s">
        <v>92</v>
      </c>
      <c r="B116" s="341" t="s">
        <v>93</v>
      </c>
      <c r="C116" s="341"/>
      <c r="D116" s="341"/>
      <c r="E116" s="341"/>
      <c r="F116" s="341"/>
      <c r="G116" s="341"/>
      <c r="H116" s="104">
        <v>1.238E-2</v>
      </c>
      <c r="I116" s="97">
        <f>SUM($I$129,$I$110,$I$111)*H116/(1-$E$113)</f>
        <v>39.744578649649405</v>
      </c>
      <c r="J116" s="98"/>
    </row>
    <row r="117" spans="1:10" ht="13.5" customHeight="1" x14ac:dyDescent="0.25">
      <c r="A117" s="137" t="s">
        <v>94</v>
      </c>
      <c r="B117" s="339" t="s">
        <v>95</v>
      </c>
      <c r="C117" s="340"/>
      <c r="D117" s="340"/>
      <c r="E117" s="340"/>
      <c r="F117" s="340"/>
      <c r="G117" s="340"/>
      <c r="H117" s="340"/>
      <c r="I117" s="101"/>
      <c r="J117" s="102"/>
    </row>
    <row r="118" spans="1:10" ht="13.5" customHeight="1" x14ac:dyDescent="0.25">
      <c r="A118" s="137" t="s">
        <v>96</v>
      </c>
      <c r="B118" s="339" t="s">
        <v>97</v>
      </c>
      <c r="C118" s="340"/>
      <c r="D118" s="340"/>
      <c r="E118" s="340"/>
      <c r="F118" s="340"/>
      <c r="G118" s="340"/>
      <c r="H118" s="340"/>
      <c r="I118" s="101"/>
      <c r="J118" s="102"/>
    </row>
    <row r="119" spans="1:10" ht="13.5" customHeight="1" x14ac:dyDescent="0.25">
      <c r="A119" s="103" t="s">
        <v>98</v>
      </c>
      <c r="B119" s="341" t="s">
        <v>99</v>
      </c>
      <c r="C119" s="341"/>
      <c r="D119" s="341"/>
      <c r="E119" s="341"/>
      <c r="F119" s="341"/>
      <c r="G119" s="341"/>
      <c r="H119" s="105">
        <v>0.05</v>
      </c>
      <c r="I119" s="97">
        <f>SUM($I$129,$I$110,$I$111)*H119/(1-$E$113)</f>
        <v>160.51929987742085</v>
      </c>
      <c r="J119" s="98"/>
    </row>
    <row r="120" spans="1:10" ht="13.5" customHeight="1" x14ac:dyDescent="0.25">
      <c r="A120" s="335" t="s">
        <v>100</v>
      </c>
      <c r="B120" s="335"/>
      <c r="C120" s="335"/>
      <c r="D120" s="335"/>
      <c r="E120" s="335"/>
      <c r="F120" s="335"/>
      <c r="G120" s="335"/>
      <c r="H120" s="335"/>
      <c r="I120" s="60">
        <f>SUM(I110:I119)</f>
        <v>291.13452568623893</v>
      </c>
      <c r="J120" s="61"/>
    </row>
    <row r="121" spans="1:10" x14ac:dyDescent="0.25">
      <c r="A121" s="89"/>
      <c r="B121" s="329"/>
      <c r="C121" s="329"/>
      <c r="D121" s="329"/>
      <c r="E121" s="329"/>
      <c r="F121" s="329"/>
      <c r="G121" s="330"/>
      <c r="H121" s="330"/>
      <c r="I121" s="72"/>
      <c r="J121" s="72"/>
    </row>
    <row r="122" spans="1:10" ht="13.5" customHeight="1" x14ac:dyDescent="0.25">
      <c r="A122" s="325" t="s">
        <v>101</v>
      </c>
      <c r="B122" s="325"/>
      <c r="C122" s="325"/>
      <c r="D122" s="325"/>
      <c r="E122" s="325"/>
      <c r="F122" s="325"/>
      <c r="G122" s="325"/>
      <c r="H122" s="325"/>
      <c r="I122" s="325"/>
      <c r="J122" s="106"/>
    </row>
    <row r="123" spans="1:10" ht="13.5" customHeight="1" x14ac:dyDescent="0.25">
      <c r="A123" s="142"/>
      <c r="B123" s="336" t="s">
        <v>102</v>
      </c>
      <c r="C123" s="337"/>
      <c r="D123" s="337"/>
      <c r="E123" s="337"/>
      <c r="F123" s="337"/>
      <c r="G123" s="337"/>
      <c r="H123" s="338"/>
      <c r="I123" s="142" t="s">
        <v>19</v>
      </c>
      <c r="J123" s="55"/>
    </row>
    <row r="124" spans="1:10" ht="13.5" customHeight="1" x14ac:dyDescent="0.25">
      <c r="A124" s="137" t="s">
        <v>2</v>
      </c>
      <c r="B124" s="333" t="s">
        <v>103</v>
      </c>
      <c r="C124" s="333"/>
      <c r="D124" s="333"/>
      <c r="E124" s="333"/>
      <c r="F124" s="333"/>
      <c r="G124" s="333"/>
      <c r="H124" s="333"/>
      <c r="I124" s="56">
        <f>I35</f>
        <v>1351.36</v>
      </c>
      <c r="J124" s="57"/>
    </row>
    <row r="125" spans="1:10" ht="13.5" customHeight="1" x14ac:dyDescent="0.25">
      <c r="A125" s="137" t="s">
        <v>4</v>
      </c>
      <c r="B125" s="333" t="s">
        <v>104</v>
      </c>
      <c r="C125" s="333"/>
      <c r="D125" s="333"/>
      <c r="E125" s="333"/>
      <c r="F125" s="333"/>
      <c r="G125" s="333"/>
      <c r="H125" s="333"/>
      <c r="I125" s="56">
        <f>I69</f>
        <v>1455.402295111111</v>
      </c>
      <c r="J125" s="57"/>
    </row>
    <row r="126" spans="1:10" ht="13.5" customHeight="1" x14ac:dyDescent="0.25">
      <c r="A126" s="137" t="s">
        <v>6</v>
      </c>
      <c r="B126" s="333" t="s">
        <v>105</v>
      </c>
      <c r="C126" s="333"/>
      <c r="D126" s="333"/>
      <c r="E126" s="333"/>
      <c r="F126" s="333"/>
      <c r="G126" s="333"/>
      <c r="H126" s="333"/>
      <c r="I126" s="56">
        <f>I79</f>
        <v>47.422075271111105</v>
      </c>
      <c r="J126" s="57"/>
    </row>
    <row r="127" spans="1:10" ht="13.5" customHeight="1" x14ac:dyDescent="0.25">
      <c r="A127" s="137" t="s">
        <v>8</v>
      </c>
      <c r="B127" s="333" t="s">
        <v>106</v>
      </c>
      <c r="C127" s="333"/>
      <c r="D127" s="333"/>
      <c r="E127" s="333"/>
      <c r="F127" s="333"/>
      <c r="G127" s="333"/>
      <c r="H127" s="333"/>
      <c r="I127" s="56">
        <f>I98</f>
        <v>26.427633059094646</v>
      </c>
      <c r="J127" s="57"/>
    </row>
    <row r="128" spans="1:10" ht="13.5" customHeight="1" x14ac:dyDescent="0.25">
      <c r="A128" s="137" t="s">
        <v>24</v>
      </c>
      <c r="B128" s="333" t="s">
        <v>107</v>
      </c>
      <c r="C128" s="333"/>
      <c r="D128" s="333"/>
      <c r="E128" s="333"/>
      <c r="F128" s="333"/>
      <c r="G128" s="333"/>
      <c r="H128" s="333"/>
      <c r="I128" s="56">
        <f>I106</f>
        <v>38.639468420861547</v>
      </c>
      <c r="J128" s="57"/>
    </row>
    <row r="129" spans="1:12" ht="13.5" customHeight="1" x14ac:dyDescent="0.25">
      <c r="A129" s="328" t="s">
        <v>108</v>
      </c>
      <c r="B129" s="328"/>
      <c r="C129" s="328"/>
      <c r="D129" s="328"/>
      <c r="E129" s="328"/>
      <c r="F129" s="328"/>
      <c r="G129" s="328"/>
      <c r="H129" s="328"/>
      <c r="I129" s="107">
        <f>SUM(I124:I128)</f>
        <v>2919.2514718621783</v>
      </c>
      <c r="J129" s="108"/>
    </row>
    <row r="130" spans="1:12" ht="13.5" customHeight="1" x14ac:dyDescent="0.25">
      <c r="A130" s="137" t="s">
        <v>26</v>
      </c>
      <c r="B130" s="334" t="s">
        <v>109</v>
      </c>
      <c r="C130" s="334"/>
      <c r="D130" s="334"/>
      <c r="E130" s="334"/>
      <c r="F130" s="334"/>
      <c r="G130" s="334"/>
      <c r="H130" s="334"/>
      <c r="I130" s="56">
        <f>I120</f>
        <v>291.13452568623893</v>
      </c>
      <c r="J130" s="57"/>
    </row>
    <row r="131" spans="1:12" ht="13.5" customHeight="1" x14ac:dyDescent="0.25">
      <c r="A131" s="328" t="s">
        <v>110</v>
      </c>
      <c r="B131" s="328"/>
      <c r="C131" s="328"/>
      <c r="D131" s="328"/>
      <c r="E131" s="328"/>
      <c r="F131" s="328"/>
      <c r="G131" s="328"/>
      <c r="H131" s="328"/>
      <c r="I131" s="109">
        <f>TRUNC(SUM(I129:I130),2)</f>
        <v>3210.38</v>
      </c>
      <c r="J131" s="110"/>
      <c r="K131" s="35">
        <f>SUM(I35,I69,I79,I98,I106,I110,I111)/G113</f>
        <v>3210.385997548417</v>
      </c>
    </row>
    <row r="132" spans="1:12" ht="13.5" customHeight="1" x14ac:dyDescent="0.25">
      <c r="A132" s="89"/>
      <c r="B132" s="329"/>
      <c r="C132" s="329"/>
      <c r="D132" s="329"/>
      <c r="E132" s="329"/>
      <c r="F132" s="329"/>
      <c r="G132" s="330"/>
      <c r="H132" s="330"/>
      <c r="I132" s="72"/>
      <c r="J132" s="72"/>
    </row>
    <row r="133" spans="1:12" ht="13.5" customHeight="1" x14ac:dyDescent="0.25">
      <c r="A133" s="325" t="s">
        <v>111</v>
      </c>
      <c r="B133" s="325"/>
      <c r="C133" s="325"/>
      <c r="D133" s="325"/>
      <c r="E133" s="325"/>
      <c r="F133" s="325"/>
      <c r="G133" s="325"/>
      <c r="H133" s="325"/>
      <c r="I133" s="325"/>
      <c r="J133" s="106"/>
    </row>
    <row r="134" spans="1:12" ht="36" x14ac:dyDescent="0.25">
      <c r="A134" s="331" t="s">
        <v>112</v>
      </c>
      <c r="B134" s="331"/>
      <c r="C134" s="331"/>
      <c r="D134" s="111" t="s">
        <v>113</v>
      </c>
      <c r="E134" s="138" t="s">
        <v>120</v>
      </c>
      <c r="F134" s="332" t="s">
        <v>121</v>
      </c>
      <c r="G134" s="332"/>
      <c r="H134" s="112" t="s">
        <v>114</v>
      </c>
      <c r="I134" s="113" t="s">
        <v>122</v>
      </c>
      <c r="J134" s="114"/>
    </row>
    <row r="135" spans="1:12" ht="21" customHeight="1" x14ac:dyDescent="0.25">
      <c r="A135" s="136" t="s">
        <v>115</v>
      </c>
      <c r="B135" s="323" t="str">
        <f>H23</f>
        <v>COPEIRO</v>
      </c>
      <c r="C135" s="323"/>
      <c r="D135" s="115">
        <f>I131</f>
        <v>3210.38</v>
      </c>
      <c r="E135" s="136">
        <v>1</v>
      </c>
      <c r="F135" s="324">
        <f>(D135*E135)</f>
        <v>3210.38</v>
      </c>
      <c r="G135" s="324"/>
      <c r="H135" s="136">
        <f>H18</f>
        <v>2</v>
      </c>
      <c r="I135" s="143">
        <f>F135*H135</f>
        <v>6420.76</v>
      </c>
      <c r="J135" s="116"/>
    </row>
    <row r="136" spans="1:12" ht="13.5" customHeight="1" x14ac:dyDescent="0.25">
      <c r="A136" s="325" t="s">
        <v>116</v>
      </c>
      <c r="B136" s="325"/>
      <c r="C136" s="325"/>
      <c r="D136" s="325"/>
      <c r="E136" s="325"/>
      <c r="F136" s="325"/>
      <c r="G136" s="325"/>
      <c r="H136" s="325"/>
      <c r="I136" s="325"/>
      <c r="J136" s="106"/>
    </row>
    <row r="137" spans="1:12" ht="13.5" customHeight="1" x14ac:dyDescent="0.25">
      <c r="A137" s="136"/>
      <c r="B137" s="326" t="s">
        <v>117</v>
      </c>
      <c r="C137" s="326"/>
      <c r="D137" s="326"/>
      <c r="E137" s="326"/>
      <c r="F137" s="326"/>
      <c r="G137" s="326"/>
      <c r="H137" s="326"/>
      <c r="I137" s="117" t="s">
        <v>19</v>
      </c>
      <c r="J137" s="118"/>
    </row>
    <row r="138" spans="1:12" ht="13.5" customHeight="1" x14ac:dyDescent="0.25">
      <c r="A138" s="125" t="s">
        <v>2</v>
      </c>
      <c r="B138" s="327" t="s">
        <v>118</v>
      </c>
      <c r="C138" s="327"/>
      <c r="D138" s="327"/>
      <c r="E138" s="327"/>
      <c r="F138" s="327"/>
      <c r="G138" s="327"/>
      <c r="H138" s="327"/>
      <c r="I138" s="92">
        <f>F135</f>
        <v>3210.38</v>
      </c>
      <c r="J138" s="93"/>
      <c r="L138" s="35"/>
    </row>
    <row r="139" spans="1:12" ht="13.5" customHeight="1" x14ac:dyDescent="0.25">
      <c r="A139" s="136" t="s">
        <v>4</v>
      </c>
      <c r="B139" s="327" t="s">
        <v>119</v>
      </c>
      <c r="C139" s="327"/>
      <c r="D139" s="327"/>
      <c r="E139" s="327"/>
      <c r="F139" s="327"/>
      <c r="G139" s="327"/>
      <c r="H139" s="327"/>
      <c r="I139" s="92">
        <f>SUM(I138:I138)*H18</f>
        <v>6420.76</v>
      </c>
      <c r="J139" s="93"/>
      <c r="K139" s="122"/>
      <c r="L139" s="119"/>
    </row>
    <row r="140" spans="1:12" ht="13.5" customHeight="1" x14ac:dyDescent="0.25">
      <c r="A140" s="136" t="s">
        <v>6</v>
      </c>
      <c r="B140" s="323" t="s">
        <v>123</v>
      </c>
      <c r="C140" s="323"/>
      <c r="D140" s="323"/>
      <c r="E140" s="323"/>
      <c r="F140" s="323"/>
      <c r="G140" s="323"/>
      <c r="H140" s="323"/>
      <c r="I140" s="120">
        <f>(I139*12)</f>
        <v>77049.119999999995</v>
      </c>
      <c r="J140" s="121"/>
    </row>
    <row r="141" spans="1:12" x14ac:dyDescent="0.25">
      <c r="I141" s="124"/>
    </row>
  </sheetData>
  <sheetProtection formatCells="0" formatColumns="0" formatRows="0" insertColumns="0" insertRows="0" insertHyperlinks="0" deleteColumns="0" deleteRows="0" sort="0" autoFilter="0" pivotTables="0"/>
  <mergeCells count="169">
    <mergeCell ref="A7:I7"/>
    <mergeCell ref="A8:I8"/>
    <mergeCell ref="A9:I9"/>
    <mergeCell ref="A10:I10"/>
    <mergeCell ref="A11:I11"/>
    <mergeCell ref="B12:D12"/>
    <mergeCell ref="E12:I12"/>
    <mergeCell ref="A1:I1"/>
    <mergeCell ref="A2:I2"/>
    <mergeCell ref="A3:I3"/>
    <mergeCell ref="A4:I4"/>
    <mergeCell ref="A5:I5"/>
    <mergeCell ref="A6:I6"/>
    <mergeCell ref="A16:I16"/>
    <mergeCell ref="A17:E17"/>
    <mergeCell ref="F17:G17"/>
    <mergeCell ref="H17:I17"/>
    <mergeCell ref="A18:E18"/>
    <mergeCell ref="F18:G18"/>
    <mergeCell ref="H18:I18"/>
    <mergeCell ref="B13:D13"/>
    <mergeCell ref="E13:I13"/>
    <mergeCell ref="B14:D14"/>
    <mergeCell ref="E14:I14"/>
    <mergeCell ref="B15:D15"/>
    <mergeCell ref="E15:I15"/>
    <mergeCell ref="B23:G23"/>
    <mergeCell ref="H23:I23"/>
    <mergeCell ref="B24:G24"/>
    <mergeCell ref="H24:I24"/>
    <mergeCell ref="A25:I25"/>
    <mergeCell ref="A26:I26"/>
    <mergeCell ref="A19:I19"/>
    <mergeCell ref="B20:G20"/>
    <mergeCell ref="H20:I20"/>
    <mergeCell ref="B21:G21"/>
    <mergeCell ref="H21:I21"/>
    <mergeCell ref="B22:G22"/>
    <mergeCell ref="H22:I22"/>
    <mergeCell ref="B30:F30"/>
    <mergeCell ref="G30:H30"/>
    <mergeCell ref="B31:F31"/>
    <mergeCell ref="G31:H31"/>
    <mergeCell ref="B32:F32"/>
    <mergeCell ref="G32:H32"/>
    <mergeCell ref="B27:F27"/>
    <mergeCell ref="G27:H27"/>
    <mergeCell ref="B28:F28"/>
    <mergeCell ref="G28:H28"/>
    <mergeCell ref="B29:F29"/>
    <mergeCell ref="G29:H29"/>
    <mergeCell ref="A37:I37"/>
    <mergeCell ref="B38:G38"/>
    <mergeCell ref="B39:G39"/>
    <mergeCell ref="B40:G40"/>
    <mergeCell ref="B41:G41"/>
    <mergeCell ref="B43:G43"/>
    <mergeCell ref="B33:F33"/>
    <mergeCell ref="G33:H33"/>
    <mergeCell ref="B34:F34"/>
    <mergeCell ref="G34:H34"/>
    <mergeCell ref="A35:H35"/>
    <mergeCell ref="A36:I36"/>
    <mergeCell ref="B50:G50"/>
    <mergeCell ref="B51:G51"/>
    <mergeCell ref="A52:G52"/>
    <mergeCell ref="B54:G54"/>
    <mergeCell ref="B55:G55"/>
    <mergeCell ref="B56:G56"/>
    <mergeCell ref="B44:G44"/>
    <mergeCell ref="B45:G45"/>
    <mergeCell ref="B46:G46"/>
    <mergeCell ref="B47:G47"/>
    <mergeCell ref="B48:G48"/>
    <mergeCell ref="B49:G49"/>
    <mergeCell ref="A63:H63"/>
    <mergeCell ref="A65:I65"/>
    <mergeCell ref="B66:H66"/>
    <mergeCell ref="B67:H67"/>
    <mergeCell ref="B68:H68"/>
    <mergeCell ref="A69:H69"/>
    <mergeCell ref="B57:G57"/>
    <mergeCell ref="B58:G58"/>
    <mergeCell ref="B59:G59"/>
    <mergeCell ref="B60:G60"/>
    <mergeCell ref="B61:G61"/>
    <mergeCell ref="B62:G62"/>
    <mergeCell ref="B77:G77"/>
    <mergeCell ref="B78:G78"/>
    <mergeCell ref="A79:G79"/>
    <mergeCell ref="B80:F80"/>
    <mergeCell ref="G80:H80"/>
    <mergeCell ref="A81:I81"/>
    <mergeCell ref="A71:I71"/>
    <mergeCell ref="B72:G72"/>
    <mergeCell ref="B73:G73"/>
    <mergeCell ref="B74:G74"/>
    <mergeCell ref="B75:G75"/>
    <mergeCell ref="B76:G76"/>
    <mergeCell ref="B88:G88"/>
    <mergeCell ref="B89:G89"/>
    <mergeCell ref="B90:F90"/>
    <mergeCell ref="G90:H90"/>
    <mergeCell ref="B91:H91"/>
    <mergeCell ref="B92:H92"/>
    <mergeCell ref="B82:G82"/>
    <mergeCell ref="B83:G83"/>
    <mergeCell ref="B84:G84"/>
    <mergeCell ref="B85:G85"/>
    <mergeCell ref="B86:G86"/>
    <mergeCell ref="B87:G87"/>
    <mergeCell ref="A98:H98"/>
    <mergeCell ref="B99:F99"/>
    <mergeCell ref="G99:H99"/>
    <mergeCell ref="A100:I100"/>
    <mergeCell ref="B101:H101"/>
    <mergeCell ref="B102:H102"/>
    <mergeCell ref="B93:H93"/>
    <mergeCell ref="B94:F94"/>
    <mergeCell ref="G94:H94"/>
    <mergeCell ref="A95:I95"/>
    <mergeCell ref="B96:H96"/>
    <mergeCell ref="B97:H97"/>
    <mergeCell ref="A108:I108"/>
    <mergeCell ref="B109:G109"/>
    <mergeCell ref="B110:G110"/>
    <mergeCell ref="B111:G111"/>
    <mergeCell ref="B103:H103"/>
    <mergeCell ref="B104:H104"/>
    <mergeCell ref="B105:H105"/>
    <mergeCell ref="A106:H106"/>
    <mergeCell ref="A107:F107"/>
    <mergeCell ref="G107:H107"/>
    <mergeCell ref="B114:H114"/>
    <mergeCell ref="B115:G115"/>
    <mergeCell ref="B116:G116"/>
    <mergeCell ref="B117:H117"/>
    <mergeCell ref="B118:H118"/>
    <mergeCell ref="B119:G119"/>
    <mergeCell ref="B112:D112"/>
    <mergeCell ref="E112:H112"/>
    <mergeCell ref="B113:D113"/>
    <mergeCell ref="E113:F113"/>
    <mergeCell ref="G113:H113"/>
    <mergeCell ref="B125:H125"/>
    <mergeCell ref="B126:H126"/>
    <mergeCell ref="B127:H127"/>
    <mergeCell ref="B128:H128"/>
    <mergeCell ref="A129:H129"/>
    <mergeCell ref="B130:H130"/>
    <mergeCell ref="A120:H120"/>
    <mergeCell ref="B121:F121"/>
    <mergeCell ref="G121:H121"/>
    <mergeCell ref="A122:I122"/>
    <mergeCell ref="B123:H123"/>
    <mergeCell ref="B124:H124"/>
    <mergeCell ref="B140:H140"/>
    <mergeCell ref="B135:C135"/>
    <mergeCell ref="F135:G135"/>
    <mergeCell ref="A136:I136"/>
    <mergeCell ref="B137:H137"/>
    <mergeCell ref="B138:H138"/>
    <mergeCell ref="B139:H139"/>
    <mergeCell ref="A131:H131"/>
    <mergeCell ref="B132:F132"/>
    <mergeCell ref="G132:H132"/>
    <mergeCell ref="A133:I133"/>
    <mergeCell ref="A134:C134"/>
    <mergeCell ref="F134:G134"/>
  </mergeCells>
  <pageMargins left="0.6692913385826772" right="0.19685039370078741" top="0.78740157480314965" bottom="0.6692913385826772" header="0.11811023622047245" footer="0.11811023622047245"/>
  <pageSetup paperSize="9" scale="75" firstPageNumber="0" fitToHeight="0" orientation="portrait" r:id="rId1"/>
  <headerFooter alignWithMargins="0">
    <oddHeader>&amp;R&amp;G</oddHeader>
    <oddFooter>&amp;L&amp;G</oddFooter>
  </headerFooter>
  <rowBreaks count="1" manualBreakCount="1">
    <brk id="70" max="8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13</vt:i4>
      </vt:variant>
    </vt:vector>
  </HeadingPairs>
  <TitlesOfParts>
    <vt:vector size="26" baseType="lpstr">
      <vt:lpstr>PROPOSTA</vt:lpstr>
      <vt:lpstr>MARCEN</vt:lpstr>
      <vt:lpstr>BOMB</vt:lpstr>
      <vt:lpstr>ELET</vt:lpstr>
      <vt:lpstr>TRAT ANI</vt:lpstr>
      <vt:lpstr>OPER MICRO</vt:lpstr>
      <vt:lpstr>AGENT PORT</vt:lpstr>
      <vt:lpstr>ALMOX</vt:lpstr>
      <vt:lpstr>COPEIRO</vt:lpstr>
      <vt:lpstr>ATEND</vt:lpstr>
      <vt:lpstr>CONTINUO</vt:lpstr>
      <vt:lpstr>RECEP</vt:lpstr>
      <vt:lpstr>UNIF</vt:lpstr>
      <vt:lpstr>'AGENT PORT'!Area_de_impressao</vt:lpstr>
      <vt:lpstr>ALMOX!Area_de_impressao</vt:lpstr>
      <vt:lpstr>ATEND!Area_de_impressao</vt:lpstr>
      <vt:lpstr>BOMB!Area_de_impressao</vt:lpstr>
      <vt:lpstr>CONTINUO!Area_de_impressao</vt:lpstr>
      <vt:lpstr>COPEIRO!Area_de_impressao</vt:lpstr>
      <vt:lpstr>ELET!Area_de_impressao</vt:lpstr>
      <vt:lpstr>MARCEN!Area_de_impressao</vt:lpstr>
      <vt:lpstr>'OPER MICRO'!Area_de_impressao</vt:lpstr>
      <vt:lpstr>PROPOSTA!Area_de_impressao</vt:lpstr>
      <vt:lpstr>RECEP!Area_de_impressao</vt:lpstr>
      <vt:lpstr>'TRAT ANI'!Area_de_impressao</vt:lpstr>
      <vt:lpstr>UNIF!Area_de_impressao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ufca</dc:creator>
  <dc:description/>
  <cp:lastModifiedBy>Cobranca Faturamento</cp:lastModifiedBy>
  <cp:revision>5</cp:revision>
  <cp:lastPrinted>2023-12-14T11:56:27Z</cp:lastPrinted>
  <dcterms:created xsi:type="dcterms:W3CDTF">2018-06-29T13:57:20Z</dcterms:created>
  <dcterms:modified xsi:type="dcterms:W3CDTF">2023-12-14T12:57:24Z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